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4.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amlet\UserShares\TSY\data\DewesC\desktop\PDF upload to pre-live\"/>
    </mc:Choice>
  </mc:AlternateContent>
  <bookViews>
    <workbookView xWindow="0" yWindow="0" windowWidth="18870" windowHeight="7680" firstSheet="8" activeTab="11"/>
  </bookViews>
  <sheets>
    <sheet name="Display" sheetId="14" state="hidden" r:id="rId1"/>
    <sheet name="Guide to Model" sheetId="23" r:id="rId2"/>
    <sheet name="Input Sources" sheetId="1" r:id="rId3"/>
    <sheet name="Popn" sheetId="2" r:id="rId4"/>
    <sheet name="LF" sheetId="4" r:id="rId5"/>
    <sheet name="Tracks" sheetId="5" r:id="rId6"/>
    <sheet name="Economic Forecasts" sheetId="26" r:id="rId7"/>
    <sheet name="Fiscal Forecasts" sheetId="27" r:id="rId8"/>
    <sheet name="NZS Fund Adjuster" sheetId="20" r:id="rId9"/>
    <sheet name="Fiscal Forecast Adjuster" sheetId="15" r:id="rId10"/>
    <sheet name="Choices" sheetId="7" r:id="rId11"/>
    <sheet name="2015 HYEFU" sheetId="25" r:id="rId12"/>
    <sheet name="Option" sheetId="16" r:id="rId13"/>
  </sheets>
  <calcPr calcId="162913"/>
</workbook>
</file>

<file path=xl/calcChain.xml><?xml version="1.0" encoding="utf-8"?>
<calcChain xmlns="http://schemas.openxmlformats.org/spreadsheetml/2006/main">
  <c r="O331" i="27" l="1"/>
  <c r="P331" i="27"/>
  <c r="P324" i="27"/>
  <c r="O324" i="27"/>
  <c r="N196" i="27"/>
  <c r="S475" i="25"/>
  <c r="R475" i="25"/>
  <c r="Q475" i="25"/>
  <c r="P475" i="25"/>
  <c r="O475" i="25"/>
  <c r="N475" i="25"/>
  <c r="M475" i="25"/>
  <c r="S473" i="25"/>
  <c r="R473" i="25"/>
  <c r="Q473" i="25"/>
  <c r="P473" i="25"/>
  <c r="O473" i="25"/>
  <c r="N473" i="25"/>
  <c r="M473" i="25"/>
  <c r="L473" i="25"/>
  <c r="K473" i="25"/>
  <c r="J473" i="25"/>
  <c r="I473" i="25"/>
  <c r="H473" i="25"/>
  <c r="G473" i="25"/>
  <c r="F473" i="25"/>
  <c r="S471" i="25"/>
  <c r="R471" i="25"/>
  <c r="Q471" i="25"/>
  <c r="P471" i="25"/>
  <c r="O471" i="25"/>
  <c r="N471" i="25"/>
  <c r="M471" i="25"/>
  <c r="L471" i="25"/>
  <c r="K471" i="25"/>
  <c r="J471" i="25"/>
  <c r="I471" i="25"/>
  <c r="H471" i="25"/>
  <c r="G471" i="25"/>
  <c r="F471" i="25"/>
  <c r="S466" i="25"/>
  <c r="R466" i="25"/>
  <c r="Q466" i="25"/>
  <c r="P466" i="25"/>
  <c r="O466" i="25"/>
  <c r="K466" i="25"/>
  <c r="J466" i="25"/>
  <c r="I466" i="25"/>
  <c r="H466" i="25"/>
  <c r="G466" i="25"/>
  <c r="F466" i="25"/>
  <c r="S465" i="25"/>
  <c r="R465" i="25"/>
  <c r="Q465" i="25"/>
  <c r="P465" i="25"/>
  <c r="O465" i="25"/>
  <c r="N465" i="25"/>
  <c r="M465" i="25"/>
  <c r="L465" i="25"/>
  <c r="K465" i="25"/>
  <c r="J465" i="25"/>
  <c r="I465" i="25"/>
  <c r="H465" i="25"/>
  <c r="G465" i="25"/>
  <c r="F465" i="25"/>
  <c r="S464" i="25"/>
  <c r="R464" i="25"/>
  <c r="Q464" i="25"/>
  <c r="P464" i="25"/>
  <c r="O464" i="25"/>
  <c r="N464" i="25"/>
  <c r="M464" i="25"/>
  <c r="L464" i="25"/>
  <c r="K464" i="25"/>
  <c r="J464" i="25"/>
  <c r="I464" i="25"/>
  <c r="H464" i="25"/>
  <c r="G464" i="25"/>
  <c r="F464" i="25"/>
  <c r="S462" i="25"/>
  <c r="R462" i="25"/>
  <c r="Q462" i="25"/>
  <c r="P462" i="25"/>
  <c r="O462" i="25"/>
  <c r="N462" i="25"/>
  <c r="M462" i="25"/>
  <c r="L462" i="25"/>
  <c r="K462" i="25"/>
  <c r="J462" i="25"/>
  <c r="I462" i="25"/>
  <c r="H462" i="25"/>
  <c r="G462" i="25"/>
  <c r="F462" i="25"/>
  <c r="S461" i="25"/>
  <c r="R461" i="25"/>
  <c r="Q461" i="25"/>
  <c r="P461" i="25"/>
  <c r="O461" i="25"/>
  <c r="N461" i="25"/>
  <c r="M461" i="25"/>
  <c r="L461" i="25"/>
  <c r="K461" i="25"/>
  <c r="J461" i="25"/>
  <c r="I461" i="25"/>
  <c r="H461" i="25"/>
  <c r="G461" i="25"/>
  <c r="F461" i="25"/>
  <c r="S460" i="25"/>
  <c r="R460" i="25"/>
  <c r="Q460" i="25"/>
  <c r="P460" i="25"/>
  <c r="O460" i="25"/>
  <c r="N460" i="25"/>
  <c r="M460" i="25"/>
  <c r="L460" i="25"/>
  <c r="K460" i="25"/>
  <c r="J460" i="25"/>
  <c r="I460" i="25"/>
  <c r="H460" i="25"/>
  <c r="G460" i="25"/>
  <c r="F460" i="25"/>
  <c r="S459" i="25"/>
  <c r="R459" i="25"/>
  <c r="Q459" i="25"/>
  <c r="P459" i="25"/>
  <c r="O459" i="25"/>
  <c r="N459" i="25"/>
  <c r="M459" i="25"/>
  <c r="L459" i="25"/>
  <c r="K459" i="25"/>
  <c r="J459" i="25"/>
  <c r="I459" i="25"/>
  <c r="H459" i="25"/>
  <c r="G459" i="25"/>
  <c r="F459" i="25"/>
  <c r="S458" i="25"/>
  <c r="R458" i="25"/>
  <c r="Q458" i="25"/>
  <c r="P458" i="25"/>
  <c r="O458" i="25"/>
  <c r="N458" i="25"/>
  <c r="M458" i="25"/>
  <c r="L458" i="25"/>
  <c r="K458" i="25"/>
  <c r="J458" i="25"/>
  <c r="I458" i="25"/>
  <c r="H458" i="25"/>
  <c r="G458" i="25"/>
  <c r="F458" i="25"/>
  <c r="S457" i="25"/>
  <c r="R457" i="25"/>
  <c r="Q457" i="25"/>
  <c r="P457" i="25"/>
  <c r="O457" i="25"/>
  <c r="N457" i="25"/>
  <c r="M457" i="25"/>
  <c r="L457" i="25"/>
  <c r="K457" i="25"/>
  <c r="J457" i="25"/>
  <c r="I457" i="25"/>
  <c r="H457" i="25"/>
  <c r="G457" i="25"/>
  <c r="F457" i="25"/>
  <c r="S456" i="25"/>
  <c r="R456" i="25"/>
  <c r="Q456" i="25"/>
  <c r="P456" i="25"/>
  <c r="O456" i="25"/>
  <c r="N456" i="25"/>
  <c r="M456" i="25"/>
  <c r="L456" i="25"/>
  <c r="K456" i="25"/>
  <c r="J456" i="25"/>
  <c r="I456" i="25"/>
  <c r="H456" i="25"/>
  <c r="G456" i="25"/>
  <c r="F456" i="25"/>
  <c r="S453" i="25"/>
  <c r="R453" i="25"/>
  <c r="Q453" i="25"/>
  <c r="P453" i="25"/>
  <c r="O453" i="25"/>
  <c r="N453" i="25"/>
  <c r="M453" i="25"/>
  <c r="L453" i="25"/>
  <c r="K453" i="25"/>
  <c r="J453" i="25"/>
  <c r="I453" i="25"/>
  <c r="H453" i="25"/>
  <c r="G453" i="25"/>
  <c r="F453" i="25"/>
  <c r="S452" i="25"/>
  <c r="R452" i="25"/>
  <c r="Q452" i="25"/>
  <c r="P452" i="25"/>
  <c r="O452" i="25"/>
  <c r="N452" i="25"/>
  <c r="L452" i="25"/>
  <c r="K452" i="25"/>
  <c r="J452" i="25"/>
  <c r="I452" i="25"/>
  <c r="H452" i="25"/>
  <c r="G452" i="25"/>
  <c r="F452" i="25"/>
  <c r="S444" i="25"/>
  <c r="S445" i="25"/>
  <c r="R444" i="25"/>
  <c r="R445" i="25"/>
  <c r="Q444" i="25"/>
  <c r="Q445" i="25"/>
  <c r="P444" i="25"/>
  <c r="P445" i="25"/>
  <c r="O444" i="25"/>
  <c r="O445" i="25"/>
  <c r="N444" i="25"/>
  <c r="N445" i="25"/>
  <c r="M444" i="25"/>
  <c r="M445" i="25"/>
  <c r="L444" i="25"/>
  <c r="L445" i="25"/>
  <c r="K444" i="25"/>
  <c r="K445" i="25"/>
  <c r="J444" i="25"/>
  <c r="J445" i="25"/>
  <c r="I444" i="25"/>
  <c r="I445" i="25"/>
  <c r="H444" i="25"/>
  <c r="H445" i="25"/>
  <c r="G444" i="25"/>
  <c r="G445" i="25"/>
  <c r="F444" i="25"/>
  <c r="F445" i="25"/>
  <c r="S439" i="25"/>
  <c r="R439" i="25"/>
  <c r="Q439" i="25"/>
  <c r="P439" i="25"/>
  <c r="O439" i="25"/>
  <c r="N439" i="25"/>
  <c r="M439" i="25"/>
  <c r="L439" i="25"/>
  <c r="K439" i="25"/>
  <c r="J439" i="25"/>
  <c r="I439" i="25"/>
  <c r="H439" i="25"/>
  <c r="G439" i="25"/>
  <c r="F439" i="25"/>
  <c r="S438" i="25"/>
  <c r="R438" i="25"/>
  <c r="Q438" i="25"/>
  <c r="P438" i="25"/>
  <c r="O438" i="25"/>
  <c r="N438" i="25"/>
  <c r="M438" i="25"/>
  <c r="L438" i="25"/>
  <c r="K438" i="25"/>
  <c r="J438" i="25"/>
  <c r="I438" i="25"/>
  <c r="H438" i="25"/>
  <c r="G438" i="25"/>
  <c r="F438" i="25"/>
  <c r="S437" i="25"/>
  <c r="S440" i="25"/>
  <c r="R437" i="25"/>
  <c r="R440" i="25"/>
  <c r="Q437" i="25"/>
  <c r="P437" i="25"/>
  <c r="O437" i="25"/>
  <c r="N437" i="25"/>
  <c r="N440" i="25" s="1"/>
  <c r="N441" i="25" s="1"/>
  <c r="N68" i="25" s="1"/>
  <c r="N69" i="25" s="1"/>
  <c r="M437" i="25"/>
  <c r="L437" i="25"/>
  <c r="K437" i="25"/>
  <c r="J437" i="25"/>
  <c r="J440" i="25" s="1"/>
  <c r="I437" i="25"/>
  <c r="I440" i="25"/>
  <c r="H437" i="25"/>
  <c r="H440" i="25"/>
  <c r="G437" i="25"/>
  <c r="G440" i="25"/>
  <c r="F437" i="25"/>
  <c r="F440" i="25"/>
  <c r="S434" i="25"/>
  <c r="R434" i="25"/>
  <c r="Q434" i="25"/>
  <c r="P434" i="25"/>
  <c r="O434" i="25"/>
  <c r="N434" i="25"/>
  <c r="M434" i="25"/>
  <c r="L434" i="25"/>
  <c r="K434" i="25"/>
  <c r="J434" i="25"/>
  <c r="I434" i="25"/>
  <c r="H434" i="25"/>
  <c r="G434" i="25"/>
  <c r="F434" i="25"/>
  <c r="S433" i="25"/>
  <c r="R433" i="25"/>
  <c r="Q433" i="25"/>
  <c r="P433" i="25"/>
  <c r="O433" i="25"/>
  <c r="N433" i="25"/>
  <c r="K433" i="25"/>
  <c r="J433" i="25"/>
  <c r="I433" i="25"/>
  <c r="H433" i="25"/>
  <c r="G433" i="25"/>
  <c r="F433" i="25"/>
  <c r="S431" i="25"/>
  <c r="R431" i="25"/>
  <c r="Q431" i="25"/>
  <c r="P431" i="25"/>
  <c r="O431" i="25"/>
  <c r="N431" i="25"/>
  <c r="M431" i="25"/>
  <c r="L431" i="25"/>
  <c r="K431" i="25"/>
  <c r="J431" i="25"/>
  <c r="I431" i="25"/>
  <c r="H431" i="25"/>
  <c r="G431" i="25"/>
  <c r="F431" i="25"/>
  <c r="S428" i="25"/>
  <c r="R428" i="25"/>
  <c r="Q428" i="25"/>
  <c r="P428" i="25"/>
  <c r="O428" i="25"/>
  <c r="N428" i="25"/>
  <c r="M428" i="25"/>
  <c r="L428" i="25"/>
  <c r="K428" i="25"/>
  <c r="J428" i="25"/>
  <c r="I428" i="25"/>
  <c r="H428" i="25"/>
  <c r="G428" i="25"/>
  <c r="F428" i="25"/>
  <c r="S424" i="25"/>
  <c r="R424" i="25"/>
  <c r="Q424" i="25"/>
  <c r="P424" i="25"/>
  <c r="O424" i="25"/>
  <c r="N424" i="25"/>
  <c r="M424" i="25"/>
  <c r="L424" i="25"/>
  <c r="K424" i="25"/>
  <c r="J424" i="25"/>
  <c r="I424" i="25"/>
  <c r="H424" i="25"/>
  <c r="G424" i="25"/>
  <c r="F424" i="25"/>
  <c r="S421" i="25"/>
  <c r="R421" i="25"/>
  <c r="Q421" i="25"/>
  <c r="P421" i="25"/>
  <c r="O421" i="25"/>
  <c r="N421" i="25"/>
  <c r="M421" i="25"/>
  <c r="L421" i="25"/>
  <c r="K421" i="25"/>
  <c r="J421" i="25"/>
  <c r="I421" i="25"/>
  <c r="H421" i="25"/>
  <c r="G421" i="25"/>
  <c r="F421" i="25"/>
  <c r="S420" i="25"/>
  <c r="R420" i="25"/>
  <c r="Q420" i="25"/>
  <c r="P420" i="25"/>
  <c r="O420" i="25"/>
  <c r="N420" i="25"/>
  <c r="M420" i="25"/>
  <c r="L420" i="25"/>
  <c r="K420" i="25"/>
  <c r="J420" i="25"/>
  <c r="I420" i="25"/>
  <c r="H420" i="25"/>
  <c r="G420" i="25"/>
  <c r="F420" i="25"/>
  <c r="S419" i="25"/>
  <c r="R419" i="25"/>
  <c r="Q419" i="25"/>
  <c r="P419" i="25"/>
  <c r="O419" i="25"/>
  <c r="N419" i="25"/>
  <c r="M419" i="25"/>
  <c r="L419" i="25"/>
  <c r="K419" i="25"/>
  <c r="J419" i="25"/>
  <c r="I419" i="25"/>
  <c r="H419" i="25"/>
  <c r="G419" i="25"/>
  <c r="F419" i="25"/>
  <c r="S416" i="25"/>
  <c r="R416" i="25"/>
  <c r="Q416" i="25"/>
  <c r="P416" i="25"/>
  <c r="O416" i="25"/>
  <c r="N416" i="25"/>
  <c r="M416" i="25"/>
  <c r="L416" i="25"/>
  <c r="K416" i="25"/>
  <c r="J416" i="25"/>
  <c r="I416" i="25"/>
  <c r="H416" i="25"/>
  <c r="G416" i="25"/>
  <c r="F416" i="25"/>
  <c r="S415" i="25"/>
  <c r="R415" i="25"/>
  <c r="Q415" i="25"/>
  <c r="P415" i="25"/>
  <c r="O415" i="25"/>
  <c r="N415" i="25"/>
  <c r="M415" i="25"/>
  <c r="L415" i="25"/>
  <c r="K415" i="25"/>
  <c r="J415" i="25"/>
  <c r="I415" i="25"/>
  <c r="H415" i="25"/>
  <c r="G415" i="25"/>
  <c r="F415" i="25"/>
  <c r="S413" i="25"/>
  <c r="R413" i="25"/>
  <c r="Q413" i="25"/>
  <c r="P413" i="25"/>
  <c r="O413" i="25"/>
  <c r="N413" i="25"/>
  <c r="M413" i="25"/>
  <c r="L413" i="25"/>
  <c r="K413" i="25"/>
  <c r="J413" i="25"/>
  <c r="I413" i="25"/>
  <c r="H413" i="25"/>
  <c r="G413" i="25"/>
  <c r="F413" i="25"/>
  <c r="S412" i="25"/>
  <c r="R412" i="25"/>
  <c r="Q412" i="25"/>
  <c r="P412" i="25"/>
  <c r="O412" i="25"/>
  <c r="N412" i="25"/>
  <c r="M412" i="25"/>
  <c r="L412" i="25"/>
  <c r="K412" i="25"/>
  <c r="J412" i="25"/>
  <c r="I412" i="25"/>
  <c r="H412" i="25"/>
  <c r="G412" i="25"/>
  <c r="F412" i="25"/>
  <c r="S411" i="25"/>
  <c r="R411" i="25"/>
  <c r="Q411" i="25"/>
  <c r="P411" i="25"/>
  <c r="O411" i="25"/>
  <c r="N411" i="25"/>
  <c r="M411" i="25"/>
  <c r="L411" i="25"/>
  <c r="K411" i="25"/>
  <c r="J411" i="25"/>
  <c r="I411" i="25"/>
  <c r="H411" i="25"/>
  <c r="G411" i="25"/>
  <c r="F411" i="25"/>
  <c r="S406" i="25"/>
  <c r="R406" i="25"/>
  <c r="Q406" i="25"/>
  <c r="P406" i="25"/>
  <c r="O406" i="25"/>
  <c r="N406" i="25"/>
  <c r="M406" i="25"/>
  <c r="L406" i="25"/>
  <c r="K406" i="25"/>
  <c r="J406" i="25"/>
  <c r="I406" i="25"/>
  <c r="H406" i="25"/>
  <c r="G406" i="25"/>
  <c r="F406" i="25"/>
  <c r="S405" i="25"/>
  <c r="R405" i="25"/>
  <c r="Q405" i="25"/>
  <c r="P405" i="25"/>
  <c r="O405" i="25"/>
  <c r="N405" i="25"/>
  <c r="M405" i="25"/>
  <c r="L405" i="25"/>
  <c r="K405" i="25"/>
  <c r="J405" i="25"/>
  <c r="I405" i="25"/>
  <c r="H405" i="25"/>
  <c r="G405" i="25"/>
  <c r="F405" i="25"/>
  <c r="S404" i="25"/>
  <c r="R404" i="25"/>
  <c r="Q404" i="25"/>
  <c r="P404" i="25"/>
  <c r="O404" i="25"/>
  <c r="N404" i="25"/>
  <c r="M404" i="25"/>
  <c r="L404" i="25"/>
  <c r="K404" i="25"/>
  <c r="J404" i="25"/>
  <c r="I404" i="25"/>
  <c r="H404" i="25"/>
  <c r="G404" i="25"/>
  <c r="F404" i="25"/>
  <c r="S401" i="25"/>
  <c r="R401" i="25"/>
  <c r="Q401" i="25"/>
  <c r="P401" i="25"/>
  <c r="O401" i="25"/>
  <c r="N401" i="25"/>
  <c r="M401" i="25"/>
  <c r="L401" i="25"/>
  <c r="K401" i="25"/>
  <c r="J401" i="25"/>
  <c r="I401" i="25"/>
  <c r="H401" i="25"/>
  <c r="G401" i="25"/>
  <c r="F401" i="25"/>
  <c r="S398" i="25"/>
  <c r="S397" i="25"/>
  <c r="S400" i="25" s="1"/>
  <c r="R398" i="25"/>
  <c r="Q398" i="25"/>
  <c r="P398" i="25"/>
  <c r="P397" i="25" s="1"/>
  <c r="P400" i="25" s="1"/>
  <c r="O398" i="25"/>
  <c r="O397" i="25"/>
  <c r="O400" i="25" s="1"/>
  <c r="N398" i="25"/>
  <c r="M398" i="25"/>
  <c r="L398" i="25"/>
  <c r="K398" i="25"/>
  <c r="J398" i="25"/>
  <c r="I398" i="25"/>
  <c r="H398" i="25"/>
  <c r="G398" i="25"/>
  <c r="F398" i="25"/>
  <c r="Q397" i="25"/>
  <c r="Q400" i="25"/>
  <c r="M397" i="25"/>
  <c r="M400" i="25"/>
  <c r="E395" i="25"/>
  <c r="S394" i="25"/>
  <c r="R394" i="25"/>
  <c r="Q394" i="25"/>
  <c r="P394" i="25"/>
  <c r="O394" i="25"/>
  <c r="N394" i="25"/>
  <c r="M394" i="25"/>
  <c r="L394" i="25"/>
  <c r="K394" i="25"/>
  <c r="J394" i="25"/>
  <c r="I394" i="25"/>
  <c r="H394" i="25"/>
  <c r="G394" i="25"/>
  <c r="F394" i="25"/>
  <c r="S393" i="25"/>
  <c r="R393" i="25"/>
  <c r="Q393" i="25"/>
  <c r="P393" i="25"/>
  <c r="O393" i="25"/>
  <c r="N393" i="25"/>
  <c r="M393" i="25"/>
  <c r="L393" i="25"/>
  <c r="K393" i="25"/>
  <c r="J393" i="25"/>
  <c r="I393" i="25"/>
  <c r="H393" i="25"/>
  <c r="G393" i="25"/>
  <c r="F393" i="25"/>
  <c r="S392" i="25"/>
  <c r="R392" i="25"/>
  <c r="Q392" i="25"/>
  <c r="P392" i="25"/>
  <c r="O392" i="25"/>
  <c r="N392" i="25"/>
  <c r="M392" i="25"/>
  <c r="L392" i="25"/>
  <c r="K392" i="25"/>
  <c r="J392" i="25"/>
  <c r="I392" i="25"/>
  <c r="H392" i="25"/>
  <c r="G392" i="25"/>
  <c r="F392" i="25"/>
  <c r="S391" i="25"/>
  <c r="R391" i="25"/>
  <c r="Q391" i="25"/>
  <c r="P391" i="25"/>
  <c r="O391" i="25"/>
  <c r="N391" i="25"/>
  <c r="M391" i="25"/>
  <c r="L391" i="25"/>
  <c r="K391" i="25"/>
  <c r="J391" i="25"/>
  <c r="I391" i="25"/>
  <c r="H391" i="25"/>
  <c r="G391" i="25"/>
  <c r="F391" i="25"/>
  <c r="S390" i="25"/>
  <c r="R390" i="25"/>
  <c r="Q390" i="25"/>
  <c r="P390" i="25"/>
  <c r="O390" i="25"/>
  <c r="N390" i="25"/>
  <c r="M390" i="25"/>
  <c r="L390" i="25"/>
  <c r="K390" i="25"/>
  <c r="J390" i="25"/>
  <c r="I390" i="25"/>
  <c r="H390" i="25"/>
  <c r="G390" i="25"/>
  <c r="F390" i="25"/>
  <c r="S389" i="25"/>
  <c r="R389" i="25"/>
  <c r="Q389" i="25"/>
  <c r="P389" i="25"/>
  <c r="O389" i="25"/>
  <c r="N389" i="25"/>
  <c r="M389" i="25"/>
  <c r="L389" i="25"/>
  <c r="K389" i="25"/>
  <c r="J389" i="25"/>
  <c r="I389" i="25"/>
  <c r="H389" i="25"/>
  <c r="G389" i="25"/>
  <c r="F389" i="25"/>
  <c r="S384" i="25"/>
  <c r="R384" i="25"/>
  <c r="Q384" i="25"/>
  <c r="P384" i="25"/>
  <c r="O384" i="25"/>
  <c r="N384" i="25"/>
  <c r="M384" i="25"/>
  <c r="L384" i="25"/>
  <c r="K384" i="25"/>
  <c r="J384" i="25"/>
  <c r="I384" i="25"/>
  <c r="H384" i="25"/>
  <c r="G384" i="25"/>
  <c r="F384" i="25"/>
  <c r="S372" i="25"/>
  <c r="R372" i="25"/>
  <c r="Q372" i="25"/>
  <c r="P372" i="25"/>
  <c r="O372" i="25"/>
  <c r="N372" i="25"/>
  <c r="M372" i="25"/>
  <c r="L372" i="25"/>
  <c r="K372" i="25"/>
  <c r="J372" i="25"/>
  <c r="I372" i="25"/>
  <c r="H372" i="25"/>
  <c r="G372" i="25"/>
  <c r="F372" i="25"/>
  <c r="S371" i="25"/>
  <c r="R371" i="25"/>
  <c r="Q371" i="25"/>
  <c r="P371" i="25"/>
  <c r="O371" i="25"/>
  <c r="N371" i="25"/>
  <c r="M371" i="25"/>
  <c r="L371" i="25"/>
  <c r="K371" i="25"/>
  <c r="J371" i="25"/>
  <c r="I371" i="25"/>
  <c r="H371" i="25"/>
  <c r="G371" i="25"/>
  <c r="F371" i="25"/>
  <c r="S370" i="25"/>
  <c r="R370" i="25"/>
  <c r="Q370" i="25"/>
  <c r="P370" i="25"/>
  <c r="O370" i="25"/>
  <c r="N370" i="25"/>
  <c r="M370" i="25"/>
  <c r="L370" i="25"/>
  <c r="K370" i="25"/>
  <c r="J370" i="25"/>
  <c r="I370" i="25"/>
  <c r="H370" i="25"/>
  <c r="G370" i="25"/>
  <c r="F370" i="25"/>
  <c r="E368" i="25"/>
  <c r="S367" i="25"/>
  <c r="R367" i="25"/>
  <c r="Q367" i="25"/>
  <c r="P367" i="25"/>
  <c r="O367" i="25"/>
  <c r="N367" i="25"/>
  <c r="M367" i="25"/>
  <c r="L367" i="25"/>
  <c r="K367" i="25"/>
  <c r="J367" i="25"/>
  <c r="I367" i="25"/>
  <c r="H367" i="25"/>
  <c r="G367" i="25"/>
  <c r="F367" i="25"/>
  <c r="S366" i="25"/>
  <c r="R366" i="25"/>
  <c r="Q366" i="25"/>
  <c r="P366" i="25"/>
  <c r="O366" i="25"/>
  <c r="N366" i="25"/>
  <c r="M366" i="25"/>
  <c r="L366" i="25"/>
  <c r="K366" i="25"/>
  <c r="J366" i="25"/>
  <c r="I366" i="25"/>
  <c r="H366" i="25"/>
  <c r="G366" i="25"/>
  <c r="F366" i="25"/>
  <c r="S365" i="25"/>
  <c r="R365" i="25"/>
  <c r="Q365" i="25"/>
  <c r="P365" i="25"/>
  <c r="O365" i="25"/>
  <c r="N365" i="25"/>
  <c r="M365" i="25"/>
  <c r="L365" i="25"/>
  <c r="K365" i="25"/>
  <c r="J365" i="25"/>
  <c r="I365" i="25"/>
  <c r="H365" i="25"/>
  <c r="G365" i="25"/>
  <c r="F365" i="25"/>
  <c r="S364" i="25"/>
  <c r="R364" i="25"/>
  <c r="Q364" i="25"/>
  <c r="P364" i="25"/>
  <c r="O364" i="25"/>
  <c r="N364" i="25"/>
  <c r="M364" i="25"/>
  <c r="L364" i="25"/>
  <c r="K364" i="25"/>
  <c r="J364" i="25"/>
  <c r="I364" i="25"/>
  <c r="H364" i="25"/>
  <c r="G364" i="25"/>
  <c r="F364" i="25"/>
  <c r="S363" i="25"/>
  <c r="R363" i="25"/>
  <c r="Q363" i="25"/>
  <c r="P363" i="25"/>
  <c r="O363" i="25"/>
  <c r="N363" i="25"/>
  <c r="M363" i="25"/>
  <c r="L363" i="25"/>
  <c r="K363" i="25"/>
  <c r="J363" i="25"/>
  <c r="I363" i="25"/>
  <c r="H363" i="25"/>
  <c r="G363" i="25"/>
  <c r="F363" i="25"/>
  <c r="S362" i="25"/>
  <c r="R362" i="25"/>
  <c r="Q362" i="25"/>
  <c r="P362" i="25"/>
  <c r="O362" i="25"/>
  <c r="N362" i="25"/>
  <c r="M362" i="25"/>
  <c r="L362" i="25"/>
  <c r="K362" i="25"/>
  <c r="J362" i="25"/>
  <c r="I362" i="25"/>
  <c r="H362" i="25"/>
  <c r="G362" i="25"/>
  <c r="F362" i="25"/>
  <c r="S357" i="25"/>
  <c r="R357" i="25"/>
  <c r="Q357" i="25"/>
  <c r="P357" i="25"/>
  <c r="O357" i="25"/>
  <c r="N357" i="25"/>
  <c r="M357" i="25"/>
  <c r="L357" i="25"/>
  <c r="K357" i="25"/>
  <c r="J357" i="25"/>
  <c r="I357" i="25"/>
  <c r="H357" i="25"/>
  <c r="G357" i="25"/>
  <c r="F357" i="25"/>
  <c r="S356" i="25"/>
  <c r="R356" i="25"/>
  <c r="Q356" i="25"/>
  <c r="P356" i="25"/>
  <c r="O356" i="25"/>
  <c r="N356" i="25"/>
  <c r="M356" i="25"/>
  <c r="L356" i="25"/>
  <c r="L358" i="25" s="1"/>
  <c r="K356" i="25"/>
  <c r="J356" i="25"/>
  <c r="I356" i="25"/>
  <c r="H356" i="25"/>
  <c r="G356" i="25"/>
  <c r="F356" i="25"/>
  <c r="S355" i="25"/>
  <c r="R355" i="25"/>
  <c r="R358" i="25" s="1"/>
  <c r="Q355" i="25"/>
  <c r="Q358" i="25" s="1"/>
  <c r="P355" i="25"/>
  <c r="O355" i="25"/>
  <c r="N355" i="25"/>
  <c r="N358" i="25" s="1"/>
  <c r="M355" i="25"/>
  <c r="M358" i="25" s="1"/>
  <c r="L355" i="25"/>
  <c r="K355" i="25"/>
  <c r="J355" i="25"/>
  <c r="J358" i="25" s="1"/>
  <c r="I355" i="25"/>
  <c r="I358" i="25" s="1"/>
  <c r="H355" i="25"/>
  <c r="G355" i="25"/>
  <c r="F355" i="25"/>
  <c r="F358" i="25" s="1"/>
  <c r="S352" i="25"/>
  <c r="R352" i="25"/>
  <c r="Q352" i="25"/>
  <c r="P352" i="25"/>
  <c r="O352" i="25"/>
  <c r="N352" i="25"/>
  <c r="M352" i="25"/>
  <c r="L352" i="25"/>
  <c r="K352" i="25"/>
  <c r="J352" i="25"/>
  <c r="I352" i="25"/>
  <c r="H352" i="25"/>
  <c r="G352" i="25"/>
  <c r="F352" i="25"/>
  <c r="S349" i="25"/>
  <c r="R349" i="25"/>
  <c r="Q349" i="25"/>
  <c r="P349" i="25"/>
  <c r="O349" i="25"/>
  <c r="N349" i="25"/>
  <c r="M349" i="25"/>
  <c r="L349" i="25"/>
  <c r="K349" i="25"/>
  <c r="J349" i="25"/>
  <c r="I349" i="25"/>
  <c r="H349" i="25"/>
  <c r="G349" i="25"/>
  <c r="F349" i="25"/>
  <c r="S346" i="25"/>
  <c r="R346" i="25"/>
  <c r="Q346" i="25"/>
  <c r="P346" i="25"/>
  <c r="O346" i="25"/>
  <c r="N346" i="25"/>
  <c r="M346" i="25"/>
  <c r="L346" i="25"/>
  <c r="K346" i="25"/>
  <c r="J346" i="25"/>
  <c r="I346" i="25"/>
  <c r="H346" i="25"/>
  <c r="G346" i="25"/>
  <c r="F346" i="25"/>
  <c r="F343" i="25"/>
  <c r="S341" i="25"/>
  <c r="R341" i="25"/>
  <c r="Q341" i="25"/>
  <c r="P341" i="25"/>
  <c r="O341" i="25"/>
  <c r="N341" i="25"/>
  <c r="M341" i="25"/>
  <c r="L341" i="25"/>
  <c r="K341" i="25"/>
  <c r="J341" i="25"/>
  <c r="I341" i="25"/>
  <c r="H341" i="25"/>
  <c r="S340" i="25"/>
  <c r="R340" i="25"/>
  <c r="Q340" i="25"/>
  <c r="P340" i="25"/>
  <c r="O340" i="25"/>
  <c r="N340" i="25"/>
  <c r="M340" i="25"/>
  <c r="L340" i="25"/>
  <c r="K340" i="25"/>
  <c r="J340" i="25"/>
  <c r="I340" i="25"/>
  <c r="H340" i="25"/>
  <c r="G340" i="25"/>
  <c r="F340" i="25"/>
  <c r="S338" i="25"/>
  <c r="R338" i="25"/>
  <c r="Q338" i="25"/>
  <c r="P338" i="25"/>
  <c r="O338" i="25"/>
  <c r="N338" i="25"/>
  <c r="M338" i="25"/>
  <c r="L338" i="25"/>
  <c r="K338" i="25"/>
  <c r="J338" i="25"/>
  <c r="I338" i="25"/>
  <c r="H338" i="25"/>
  <c r="G338" i="25"/>
  <c r="F338" i="25"/>
  <c r="S336" i="25"/>
  <c r="R336" i="25"/>
  <c r="Q336" i="25"/>
  <c r="P336" i="25"/>
  <c r="O336" i="25"/>
  <c r="N336" i="25"/>
  <c r="M336" i="25"/>
  <c r="L336" i="25"/>
  <c r="K336" i="25"/>
  <c r="J336" i="25"/>
  <c r="I336" i="25"/>
  <c r="H336" i="25"/>
  <c r="G336" i="25"/>
  <c r="F336" i="25"/>
  <c r="S335" i="25"/>
  <c r="R335" i="25"/>
  <c r="Q335" i="25"/>
  <c r="P335" i="25"/>
  <c r="O335" i="25"/>
  <c r="N335" i="25"/>
  <c r="M335" i="25"/>
  <c r="L335" i="25"/>
  <c r="K335" i="25"/>
  <c r="J335" i="25"/>
  <c r="I335" i="25"/>
  <c r="H335" i="25"/>
  <c r="G335" i="25"/>
  <c r="F335" i="25"/>
  <c r="S334" i="25"/>
  <c r="R334" i="25"/>
  <c r="Q334" i="25"/>
  <c r="P334" i="25"/>
  <c r="O334" i="25"/>
  <c r="N334" i="25"/>
  <c r="M334" i="25"/>
  <c r="L334" i="25"/>
  <c r="K334" i="25"/>
  <c r="J334" i="25"/>
  <c r="I334" i="25"/>
  <c r="H334" i="25"/>
  <c r="G334" i="25"/>
  <c r="F334" i="25"/>
  <c r="S330" i="25"/>
  <c r="R330" i="25"/>
  <c r="Q330" i="25"/>
  <c r="P330" i="25"/>
  <c r="O330" i="25"/>
  <c r="N330" i="25"/>
  <c r="M330" i="25"/>
  <c r="L330" i="25"/>
  <c r="K330" i="25"/>
  <c r="J330" i="25"/>
  <c r="I330" i="25"/>
  <c r="H330" i="25"/>
  <c r="G330" i="25"/>
  <c r="F330" i="25"/>
  <c r="S329" i="25"/>
  <c r="R329" i="25"/>
  <c r="Q329" i="25"/>
  <c r="P329" i="25"/>
  <c r="O329" i="25"/>
  <c r="N329" i="25"/>
  <c r="M329" i="25"/>
  <c r="L329" i="25"/>
  <c r="K329" i="25"/>
  <c r="J329" i="25"/>
  <c r="I329" i="25"/>
  <c r="H329" i="25"/>
  <c r="G329" i="25"/>
  <c r="F329" i="25"/>
  <c r="S328" i="25"/>
  <c r="R328" i="25"/>
  <c r="Q328" i="25"/>
  <c r="P328" i="25"/>
  <c r="O328" i="25"/>
  <c r="N328" i="25"/>
  <c r="M328" i="25"/>
  <c r="L328" i="25"/>
  <c r="K328" i="25"/>
  <c r="J328" i="25"/>
  <c r="I328" i="25"/>
  <c r="H328" i="25"/>
  <c r="G328" i="25"/>
  <c r="F328" i="25"/>
  <c r="S327" i="25"/>
  <c r="R327" i="25"/>
  <c r="Q327" i="25"/>
  <c r="P327" i="25"/>
  <c r="O327" i="25"/>
  <c r="N327" i="25"/>
  <c r="M327" i="25"/>
  <c r="L327" i="25"/>
  <c r="K327" i="25"/>
  <c r="J327" i="25"/>
  <c r="I327" i="25"/>
  <c r="H327" i="25"/>
  <c r="G327" i="25"/>
  <c r="F327" i="25"/>
  <c r="S324" i="25"/>
  <c r="R324" i="25"/>
  <c r="Q324" i="25"/>
  <c r="P324" i="25"/>
  <c r="O324" i="25"/>
  <c r="N324" i="25"/>
  <c r="M324" i="25"/>
  <c r="L324" i="25"/>
  <c r="K324" i="25"/>
  <c r="J324" i="25"/>
  <c r="I324" i="25"/>
  <c r="H324" i="25"/>
  <c r="G324" i="25"/>
  <c r="F324" i="25"/>
  <c r="S323" i="25"/>
  <c r="R323" i="25"/>
  <c r="Q323" i="25"/>
  <c r="P323" i="25"/>
  <c r="O323" i="25"/>
  <c r="N323" i="25"/>
  <c r="M323" i="25"/>
  <c r="L323" i="25"/>
  <c r="K323" i="25"/>
  <c r="J323" i="25"/>
  <c r="I323" i="25"/>
  <c r="H323" i="25"/>
  <c r="G323" i="25"/>
  <c r="F323" i="25"/>
  <c r="S322" i="25"/>
  <c r="R322" i="25"/>
  <c r="Q322" i="25"/>
  <c r="P322" i="25"/>
  <c r="O322" i="25"/>
  <c r="N322" i="25"/>
  <c r="M322" i="25"/>
  <c r="L322" i="25"/>
  <c r="K322" i="25"/>
  <c r="J322" i="25"/>
  <c r="I322" i="25"/>
  <c r="H322" i="25"/>
  <c r="G322" i="25"/>
  <c r="F322" i="25"/>
  <c r="S319" i="25"/>
  <c r="R319" i="25"/>
  <c r="Q319" i="25"/>
  <c r="P319" i="25"/>
  <c r="O319" i="25"/>
  <c r="N319" i="25"/>
  <c r="M319" i="25"/>
  <c r="L319" i="25"/>
  <c r="K319" i="25"/>
  <c r="J319" i="25"/>
  <c r="I319" i="25"/>
  <c r="H319" i="25"/>
  <c r="G319" i="25"/>
  <c r="F319" i="25"/>
  <c r="S318" i="25"/>
  <c r="R318" i="25"/>
  <c r="Q318" i="25"/>
  <c r="P318" i="25"/>
  <c r="O318" i="25"/>
  <c r="N318" i="25"/>
  <c r="M318" i="25"/>
  <c r="L318" i="25"/>
  <c r="K318" i="25"/>
  <c r="J318" i="25"/>
  <c r="I318" i="25"/>
  <c r="H318" i="25"/>
  <c r="G318" i="25"/>
  <c r="F318" i="25"/>
  <c r="S317" i="25"/>
  <c r="R317" i="25"/>
  <c r="Q317" i="25"/>
  <c r="P317" i="25"/>
  <c r="O317" i="25"/>
  <c r="N317" i="25"/>
  <c r="M317" i="25"/>
  <c r="L317" i="25"/>
  <c r="K317" i="25"/>
  <c r="J317" i="25"/>
  <c r="I317" i="25"/>
  <c r="H317" i="25"/>
  <c r="G317" i="25"/>
  <c r="F317" i="25"/>
  <c r="S316" i="25"/>
  <c r="R316" i="25"/>
  <c r="Q316" i="25"/>
  <c r="P316" i="25"/>
  <c r="O316" i="25"/>
  <c r="N316" i="25"/>
  <c r="M316" i="25"/>
  <c r="L316" i="25"/>
  <c r="K316" i="25"/>
  <c r="J316" i="25"/>
  <c r="I316" i="25"/>
  <c r="H316" i="25"/>
  <c r="G316" i="25"/>
  <c r="F316" i="25"/>
  <c r="S315" i="25"/>
  <c r="R315" i="25"/>
  <c r="Q315" i="25"/>
  <c r="P315" i="25"/>
  <c r="O315" i="25"/>
  <c r="N315" i="25"/>
  <c r="M315" i="25"/>
  <c r="L315" i="25"/>
  <c r="K315" i="25"/>
  <c r="J315" i="25"/>
  <c r="I315" i="25"/>
  <c r="H315" i="25"/>
  <c r="G315" i="25"/>
  <c r="F315" i="25"/>
  <c r="S314" i="25"/>
  <c r="R314" i="25"/>
  <c r="Q314" i="25"/>
  <c r="P314" i="25"/>
  <c r="O314" i="25"/>
  <c r="N314" i="25"/>
  <c r="M314" i="25"/>
  <c r="L314" i="25"/>
  <c r="K314" i="25"/>
  <c r="J314" i="25"/>
  <c r="I314" i="25"/>
  <c r="H314" i="25"/>
  <c r="G314" i="25"/>
  <c r="F314" i="25"/>
  <c r="S311" i="25"/>
  <c r="R311" i="25"/>
  <c r="Q311" i="25"/>
  <c r="P311" i="25"/>
  <c r="O311" i="25"/>
  <c r="N311" i="25"/>
  <c r="M311" i="25"/>
  <c r="L311" i="25"/>
  <c r="K311" i="25"/>
  <c r="J311" i="25"/>
  <c r="I311" i="25"/>
  <c r="H311" i="25"/>
  <c r="G311" i="25"/>
  <c r="F311" i="25"/>
  <c r="S310" i="25"/>
  <c r="R310" i="25"/>
  <c r="Q310" i="25"/>
  <c r="P310" i="25"/>
  <c r="O310" i="25"/>
  <c r="N310" i="25"/>
  <c r="M310" i="25"/>
  <c r="L310" i="25"/>
  <c r="K310" i="25"/>
  <c r="J310" i="25"/>
  <c r="I310" i="25"/>
  <c r="H310" i="25"/>
  <c r="G310" i="25"/>
  <c r="F310" i="25"/>
  <c r="S308" i="25"/>
  <c r="R308" i="25"/>
  <c r="Q308" i="25"/>
  <c r="P308" i="25"/>
  <c r="O308" i="25"/>
  <c r="N308" i="25"/>
  <c r="M308" i="25"/>
  <c r="L308" i="25"/>
  <c r="K308" i="25"/>
  <c r="J308" i="25"/>
  <c r="I308" i="25"/>
  <c r="H308" i="25"/>
  <c r="G308" i="25"/>
  <c r="F308" i="25"/>
  <c r="S305" i="25"/>
  <c r="S306" i="25"/>
  <c r="R305" i="25"/>
  <c r="R306" i="25"/>
  <c r="Q305" i="25"/>
  <c r="Q306" i="25"/>
  <c r="P305" i="25"/>
  <c r="P306" i="25"/>
  <c r="O305" i="25"/>
  <c r="O306" i="25"/>
  <c r="N305" i="25"/>
  <c r="N306" i="25"/>
  <c r="K305" i="25"/>
  <c r="K306" i="25"/>
  <c r="J305" i="25"/>
  <c r="J306" i="25"/>
  <c r="I305" i="25"/>
  <c r="I306" i="25"/>
  <c r="H305" i="25"/>
  <c r="H306" i="25"/>
  <c r="G305" i="25"/>
  <c r="G306" i="25"/>
  <c r="F305" i="25"/>
  <c r="F306" i="25"/>
  <c r="S302" i="25"/>
  <c r="R302" i="25"/>
  <c r="Q302" i="25"/>
  <c r="P302" i="25"/>
  <c r="O302" i="25"/>
  <c r="N302" i="25"/>
  <c r="M302" i="25"/>
  <c r="L302" i="25"/>
  <c r="K302" i="25"/>
  <c r="J302" i="25"/>
  <c r="I302" i="25"/>
  <c r="H302" i="25"/>
  <c r="G302" i="25"/>
  <c r="F302" i="25"/>
  <c r="S301" i="25"/>
  <c r="R301" i="25"/>
  <c r="Q301" i="25"/>
  <c r="P301" i="25"/>
  <c r="O301" i="25"/>
  <c r="N301" i="25"/>
  <c r="M301" i="25"/>
  <c r="L301" i="25"/>
  <c r="K301" i="25"/>
  <c r="J301" i="25"/>
  <c r="I301" i="25"/>
  <c r="H301" i="25"/>
  <c r="G301" i="25"/>
  <c r="F301" i="25"/>
  <c r="S299" i="25"/>
  <c r="R299" i="25"/>
  <c r="Q299" i="25"/>
  <c r="P299" i="25"/>
  <c r="O299" i="25"/>
  <c r="N299" i="25"/>
  <c r="M299" i="25"/>
  <c r="L299" i="25"/>
  <c r="K299" i="25"/>
  <c r="J299" i="25"/>
  <c r="I299" i="25"/>
  <c r="H299" i="25"/>
  <c r="G299" i="25"/>
  <c r="F299" i="25"/>
  <c r="S298" i="25"/>
  <c r="R298" i="25"/>
  <c r="Q298" i="25"/>
  <c r="P298" i="25"/>
  <c r="O298" i="25"/>
  <c r="N298" i="25"/>
  <c r="M298" i="25"/>
  <c r="L298" i="25"/>
  <c r="K298" i="25"/>
  <c r="J298" i="25"/>
  <c r="I298" i="25"/>
  <c r="H298" i="25"/>
  <c r="G298" i="25"/>
  <c r="F298" i="25"/>
  <c r="S296" i="25"/>
  <c r="R296" i="25"/>
  <c r="Q296" i="25"/>
  <c r="P296" i="25"/>
  <c r="O296" i="25"/>
  <c r="N296" i="25"/>
  <c r="M296" i="25"/>
  <c r="L296" i="25"/>
  <c r="K296" i="25"/>
  <c r="J296" i="25"/>
  <c r="I296" i="25"/>
  <c r="H296" i="25"/>
  <c r="G296" i="25"/>
  <c r="F296" i="25"/>
  <c r="S295" i="25"/>
  <c r="R295" i="25"/>
  <c r="Q295" i="25"/>
  <c r="P295" i="25"/>
  <c r="O295" i="25"/>
  <c r="N295" i="25"/>
  <c r="M295" i="25"/>
  <c r="L295" i="25"/>
  <c r="K295" i="25"/>
  <c r="J295" i="25"/>
  <c r="I295" i="25"/>
  <c r="H295" i="25"/>
  <c r="G295" i="25"/>
  <c r="F295" i="25"/>
  <c r="S293" i="25"/>
  <c r="R293" i="25"/>
  <c r="Q293" i="25"/>
  <c r="P293" i="25"/>
  <c r="O293" i="25"/>
  <c r="N293" i="25"/>
  <c r="M293" i="25"/>
  <c r="L293" i="25"/>
  <c r="K293" i="25"/>
  <c r="J293" i="25"/>
  <c r="I293" i="25"/>
  <c r="H293" i="25"/>
  <c r="G293" i="25"/>
  <c r="F293" i="25"/>
  <c r="S292" i="25"/>
  <c r="R292" i="25"/>
  <c r="Q292" i="25"/>
  <c r="P292" i="25"/>
  <c r="O292" i="25"/>
  <c r="N292" i="25"/>
  <c r="M292" i="25"/>
  <c r="L292" i="25"/>
  <c r="K292" i="25"/>
  <c r="J292" i="25"/>
  <c r="I292" i="25"/>
  <c r="H292" i="25"/>
  <c r="G292" i="25"/>
  <c r="F292" i="25"/>
  <c r="S291" i="25"/>
  <c r="R291" i="25"/>
  <c r="Q291" i="25"/>
  <c r="P291" i="25"/>
  <c r="O291" i="25"/>
  <c r="N291" i="25"/>
  <c r="M291" i="25"/>
  <c r="L291" i="25"/>
  <c r="K291" i="25"/>
  <c r="J291" i="25"/>
  <c r="I291" i="25"/>
  <c r="H291" i="25"/>
  <c r="G291" i="25"/>
  <c r="F291" i="25"/>
  <c r="S289" i="25"/>
  <c r="R289" i="25"/>
  <c r="Q289" i="25"/>
  <c r="P289" i="25"/>
  <c r="O289" i="25"/>
  <c r="N289" i="25"/>
  <c r="M289" i="25"/>
  <c r="L289" i="25"/>
  <c r="K289" i="25"/>
  <c r="J289" i="25"/>
  <c r="I289" i="25"/>
  <c r="H289" i="25"/>
  <c r="G289" i="25"/>
  <c r="F289" i="25"/>
  <c r="S281" i="25"/>
  <c r="R281" i="25"/>
  <c r="Q281" i="25"/>
  <c r="P281" i="25"/>
  <c r="P282" i="25" s="1"/>
  <c r="O281" i="25"/>
  <c r="N281" i="25"/>
  <c r="M281" i="25"/>
  <c r="L281" i="25"/>
  <c r="L282" i="25" s="1"/>
  <c r="K281" i="25"/>
  <c r="J281" i="25"/>
  <c r="I281" i="25"/>
  <c r="H281" i="25"/>
  <c r="H282" i="25" s="1"/>
  <c r="G281" i="25"/>
  <c r="F281" i="25"/>
  <c r="S280" i="25"/>
  <c r="R280" i="25"/>
  <c r="Q280" i="25"/>
  <c r="P280" i="25"/>
  <c r="O280" i="25"/>
  <c r="N280" i="25"/>
  <c r="M280" i="25"/>
  <c r="L280" i="25"/>
  <c r="K280" i="25"/>
  <c r="J280" i="25"/>
  <c r="I280" i="25"/>
  <c r="H280" i="25"/>
  <c r="G280" i="25"/>
  <c r="F280" i="25"/>
  <c r="S279" i="25"/>
  <c r="R279" i="25"/>
  <c r="Q279" i="25"/>
  <c r="Q282" i="25"/>
  <c r="P279" i="25"/>
  <c r="O279" i="25"/>
  <c r="N279" i="25"/>
  <c r="M279" i="25"/>
  <c r="M282" i="25"/>
  <c r="L279" i="25"/>
  <c r="K279" i="25"/>
  <c r="J279" i="25"/>
  <c r="I279" i="25"/>
  <c r="I282" i="25"/>
  <c r="H279" i="25"/>
  <c r="G279" i="25"/>
  <c r="F279" i="25"/>
  <c r="S276" i="25"/>
  <c r="R276" i="25"/>
  <c r="Q276" i="25"/>
  <c r="P276" i="25"/>
  <c r="O276" i="25"/>
  <c r="N276" i="25"/>
  <c r="M276" i="25"/>
  <c r="L276" i="25"/>
  <c r="K276" i="25"/>
  <c r="J276" i="25"/>
  <c r="I276" i="25"/>
  <c r="H276" i="25"/>
  <c r="G276" i="25"/>
  <c r="F276" i="25"/>
  <c r="S275" i="25"/>
  <c r="R275" i="25"/>
  <c r="Q275" i="25"/>
  <c r="P275" i="25"/>
  <c r="O275" i="25"/>
  <c r="N275" i="25"/>
  <c r="M275" i="25"/>
  <c r="L275" i="25"/>
  <c r="K275" i="25"/>
  <c r="J275" i="25"/>
  <c r="I275" i="25"/>
  <c r="H275" i="25"/>
  <c r="G275" i="25"/>
  <c r="F275" i="25"/>
  <c r="S273" i="25"/>
  <c r="R273" i="25"/>
  <c r="Q273" i="25"/>
  <c r="P273" i="25"/>
  <c r="O273" i="25"/>
  <c r="N273" i="25"/>
  <c r="M273" i="25"/>
  <c r="L273" i="25"/>
  <c r="K273" i="25"/>
  <c r="J273" i="25"/>
  <c r="I273" i="25"/>
  <c r="H273" i="25"/>
  <c r="G273" i="25"/>
  <c r="F273" i="25"/>
  <c r="S272" i="25"/>
  <c r="R272" i="25"/>
  <c r="Q272" i="25"/>
  <c r="P272" i="25"/>
  <c r="O272" i="25"/>
  <c r="N272" i="25"/>
  <c r="M272" i="25"/>
  <c r="L272" i="25"/>
  <c r="K272" i="25"/>
  <c r="J272" i="25"/>
  <c r="I272" i="25"/>
  <c r="H272" i="25"/>
  <c r="G272" i="25"/>
  <c r="F272" i="25"/>
  <c r="S270" i="25"/>
  <c r="R270" i="25"/>
  <c r="Q270" i="25"/>
  <c r="P270" i="25"/>
  <c r="O270" i="25"/>
  <c r="N270" i="25"/>
  <c r="M270" i="25"/>
  <c r="L270" i="25"/>
  <c r="K270" i="25"/>
  <c r="J270" i="25"/>
  <c r="I270" i="25"/>
  <c r="H270" i="25"/>
  <c r="G270" i="25"/>
  <c r="F270" i="25"/>
  <c r="S260" i="25"/>
  <c r="R260" i="25"/>
  <c r="Q260" i="25"/>
  <c r="P260" i="25"/>
  <c r="O260" i="25"/>
  <c r="N260" i="25"/>
  <c r="M260" i="25"/>
  <c r="L260" i="25"/>
  <c r="K260" i="25"/>
  <c r="J260" i="25"/>
  <c r="I260" i="25"/>
  <c r="H260" i="25"/>
  <c r="G260" i="25"/>
  <c r="F260" i="25"/>
  <c r="S259" i="25"/>
  <c r="R259" i="25"/>
  <c r="Q259" i="25"/>
  <c r="P259" i="25"/>
  <c r="O259" i="25"/>
  <c r="N259" i="25"/>
  <c r="M259" i="25"/>
  <c r="L259" i="25"/>
  <c r="K259" i="25"/>
  <c r="J259" i="25"/>
  <c r="I259" i="25"/>
  <c r="H259" i="25"/>
  <c r="G259" i="25"/>
  <c r="F259" i="25"/>
  <c r="S250" i="25"/>
  <c r="R250" i="25"/>
  <c r="Q250" i="25"/>
  <c r="P250" i="25"/>
  <c r="O250" i="25"/>
  <c r="N250" i="25"/>
  <c r="N251" i="25" s="1"/>
  <c r="M250" i="25"/>
  <c r="L250" i="25"/>
  <c r="K250" i="25"/>
  <c r="J250" i="25"/>
  <c r="J251" i="25" s="1"/>
  <c r="I250" i="25"/>
  <c r="H250" i="25"/>
  <c r="G250" i="25"/>
  <c r="F250" i="25"/>
  <c r="F251" i="25" s="1"/>
  <c r="S249" i="25"/>
  <c r="S251" i="25"/>
  <c r="R249" i="25"/>
  <c r="R251" i="25"/>
  <c r="Q249" i="25"/>
  <c r="P249" i="25"/>
  <c r="O249" i="25"/>
  <c r="O251" i="25"/>
  <c r="N249" i="25"/>
  <c r="M249" i="25"/>
  <c r="L249" i="25"/>
  <c r="L251" i="25" s="1"/>
  <c r="K249" i="25"/>
  <c r="K251" i="25"/>
  <c r="J249" i="25"/>
  <c r="I249" i="25"/>
  <c r="H249" i="25"/>
  <c r="G249" i="25"/>
  <c r="G251" i="25"/>
  <c r="F249" i="25"/>
  <c r="S246" i="25"/>
  <c r="R246" i="25"/>
  <c r="Q246" i="25"/>
  <c r="P246" i="25"/>
  <c r="O246" i="25"/>
  <c r="N246" i="25"/>
  <c r="M246" i="25"/>
  <c r="L246" i="25"/>
  <c r="K246" i="25"/>
  <c r="J246" i="25"/>
  <c r="I246" i="25"/>
  <c r="H246" i="25"/>
  <c r="G246" i="25"/>
  <c r="F246" i="25"/>
  <c r="S245" i="25"/>
  <c r="R245" i="25"/>
  <c r="Q245" i="25"/>
  <c r="P245" i="25"/>
  <c r="O245" i="25"/>
  <c r="N245" i="25"/>
  <c r="M245" i="25"/>
  <c r="L245" i="25"/>
  <c r="K245" i="25"/>
  <c r="J245" i="25"/>
  <c r="I245" i="25"/>
  <c r="H245" i="25"/>
  <c r="G245" i="25"/>
  <c r="F245" i="25"/>
  <c r="S243" i="25"/>
  <c r="R243" i="25"/>
  <c r="Q243" i="25"/>
  <c r="P243" i="25"/>
  <c r="O243" i="25"/>
  <c r="N243" i="25"/>
  <c r="M243" i="25"/>
  <c r="L243" i="25"/>
  <c r="K243" i="25"/>
  <c r="J243" i="25"/>
  <c r="I243" i="25"/>
  <c r="H243" i="25"/>
  <c r="G243" i="25"/>
  <c r="F243" i="25"/>
  <c r="S241" i="25"/>
  <c r="R241" i="25"/>
  <c r="Q241" i="25"/>
  <c r="P241" i="25"/>
  <c r="O241" i="25"/>
  <c r="N241" i="25"/>
  <c r="M241" i="25"/>
  <c r="L241" i="25"/>
  <c r="K241" i="25"/>
  <c r="J241" i="25"/>
  <c r="I241" i="25"/>
  <c r="H241" i="25"/>
  <c r="G241" i="25"/>
  <c r="F241" i="25"/>
  <c r="S238" i="25"/>
  <c r="R238" i="25"/>
  <c r="Q238" i="25"/>
  <c r="P238" i="25"/>
  <c r="O238" i="25"/>
  <c r="N238" i="25"/>
  <c r="M238" i="25"/>
  <c r="L238" i="25"/>
  <c r="K238" i="25"/>
  <c r="J238" i="25"/>
  <c r="I238" i="25"/>
  <c r="H238" i="25"/>
  <c r="G238" i="25"/>
  <c r="F238" i="25"/>
  <c r="S237" i="25"/>
  <c r="R237" i="25"/>
  <c r="Q237" i="25"/>
  <c r="P237" i="25"/>
  <c r="O237" i="25"/>
  <c r="N237" i="25"/>
  <c r="M237" i="25"/>
  <c r="L237" i="25"/>
  <c r="K237" i="25"/>
  <c r="J237" i="25"/>
  <c r="I237" i="25"/>
  <c r="H237" i="25"/>
  <c r="G237" i="25"/>
  <c r="F237" i="25"/>
  <c r="S234" i="25"/>
  <c r="R234" i="25"/>
  <c r="Q234" i="25"/>
  <c r="P234" i="25"/>
  <c r="O234" i="25"/>
  <c r="N234" i="25"/>
  <c r="M234" i="25"/>
  <c r="L234" i="25"/>
  <c r="K234" i="25"/>
  <c r="J234" i="25"/>
  <c r="I234" i="25"/>
  <c r="H234" i="25"/>
  <c r="G234" i="25"/>
  <c r="F234" i="25"/>
  <c r="S233" i="25"/>
  <c r="R233" i="25"/>
  <c r="Q233" i="25"/>
  <c r="P233" i="25"/>
  <c r="O233" i="25"/>
  <c r="N233" i="25"/>
  <c r="M233" i="25"/>
  <c r="L233" i="25"/>
  <c r="L235" i="25" s="1"/>
  <c r="K233" i="25"/>
  <c r="J233" i="25"/>
  <c r="I233" i="25"/>
  <c r="H233" i="25"/>
  <c r="H235" i="25" s="1"/>
  <c r="G233" i="25"/>
  <c r="F233" i="25"/>
  <c r="S232" i="25"/>
  <c r="R232" i="25"/>
  <c r="Q232" i="25"/>
  <c r="Q235" i="25"/>
  <c r="P232" i="25"/>
  <c r="P235" i="25"/>
  <c r="O232" i="25"/>
  <c r="N232" i="25"/>
  <c r="M232" i="25"/>
  <c r="M235" i="25"/>
  <c r="L232" i="25"/>
  <c r="K232" i="25"/>
  <c r="J232" i="25"/>
  <c r="I232" i="25"/>
  <c r="I235" i="25"/>
  <c r="H232" i="25"/>
  <c r="G232" i="25"/>
  <c r="F232" i="25"/>
  <c r="S226" i="25"/>
  <c r="R226" i="25"/>
  <c r="Q226" i="25"/>
  <c r="P226" i="25"/>
  <c r="O226" i="25"/>
  <c r="N226" i="25"/>
  <c r="M226" i="25"/>
  <c r="L226" i="25"/>
  <c r="K226" i="25"/>
  <c r="J226" i="25"/>
  <c r="I226" i="25"/>
  <c r="H226" i="25"/>
  <c r="G226" i="25"/>
  <c r="F226" i="25"/>
  <c r="S225" i="25"/>
  <c r="R225" i="25"/>
  <c r="Q225" i="25"/>
  <c r="P225" i="25"/>
  <c r="O225" i="25"/>
  <c r="N225" i="25"/>
  <c r="M225" i="25"/>
  <c r="L225" i="25"/>
  <c r="K225" i="25"/>
  <c r="J225" i="25"/>
  <c r="I225" i="25"/>
  <c r="H225" i="25"/>
  <c r="G225" i="25"/>
  <c r="F225" i="25"/>
  <c r="S224" i="25"/>
  <c r="R224" i="25"/>
  <c r="Q224" i="25"/>
  <c r="P224" i="25"/>
  <c r="O224" i="25"/>
  <c r="N224" i="25"/>
  <c r="M224" i="25"/>
  <c r="L224" i="25"/>
  <c r="K224" i="25"/>
  <c r="J224" i="25"/>
  <c r="I224" i="25"/>
  <c r="H224" i="25"/>
  <c r="G224" i="25"/>
  <c r="F224" i="25"/>
  <c r="S223" i="25"/>
  <c r="R223" i="25"/>
  <c r="Q223" i="25"/>
  <c r="P223" i="25"/>
  <c r="O223" i="25"/>
  <c r="N223" i="25"/>
  <c r="M223" i="25"/>
  <c r="L223" i="25"/>
  <c r="K223" i="25"/>
  <c r="J223" i="25"/>
  <c r="I223" i="25"/>
  <c r="H223" i="25"/>
  <c r="G223" i="25"/>
  <c r="F223" i="25"/>
  <c r="S219" i="25"/>
  <c r="R219" i="25"/>
  <c r="Q219" i="25"/>
  <c r="P219" i="25"/>
  <c r="O219" i="25"/>
  <c r="N219" i="25"/>
  <c r="M219" i="25"/>
  <c r="L219" i="25"/>
  <c r="K219" i="25"/>
  <c r="J219" i="25"/>
  <c r="I219" i="25"/>
  <c r="H219" i="25"/>
  <c r="G219" i="25"/>
  <c r="F219" i="25"/>
  <c r="S218" i="25"/>
  <c r="R218" i="25"/>
  <c r="Q218" i="25"/>
  <c r="P218" i="25"/>
  <c r="O218" i="25"/>
  <c r="N218" i="25"/>
  <c r="M218" i="25"/>
  <c r="L218" i="25"/>
  <c r="K218" i="25"/>
  <c r="J218" i="25"/>
  <c r="I218" i="25"/>
  <c r="H218" i="25"/>
  <c r="G218" i="25"/>
  <c r="F218" i="25"/>
  <c r="S217" i="25"/>
  <c r="R217" i="25"/>
  <c r="Q217" i="25"/>
  <c r="P217" i="25"/>
  <c r="O217" i="25"/>
  <c r="N217" i="25"/>
  <c r="M217" i="25"/>
  <c r="L217" i="25"/>
  <c r="K217" i="25"/>
  <c r="J217" i="25"/>
  <c r="I217" i="25"/>
  <c r="H217" i="25"/>
  <c r="G217" i="25"/>
  <c r="F217" i="25"/>
  <c r="S216" i="25"/>
  <c r="R216" i="25"/>
  <c r="Q216" i="25"/>
  <c r="P216" i="25"/>
  <c r="O216" i="25"/>
  <c r="N216" i="25"/>
  <c r="M216" i="25"/>
  <c r="L216" i="25"/>
  <c r="K216" i="25"/>
  <c r="J216" i="25"/>
  <c r="I216" i="25"/>
  <c r="H216" i="25"/>
  <c r="G216" i="25"/>
  <c r="F216" i="25"/>
  <c r="S212" i="25"/>
  <c r="R212" i="25"/>
  <c r="Q212" i="25"/>
  <c r="P212" i="25"/>
  <c r="O212" i="25"/>
  <c r="N212" i="25"/>
  <c r="M212" i="25"/>
  <c r="L212" i="25"/>
  <c r="K212" i="25"/>
  <c r="J212" i="25"/>
  <c r="I212" i="25"/>
  <c r="H212" i="25"/>
  <c r="G212" i="25"/>
  <c r="F212" i="25"/>
  <c r="S211" i="25"/>
  <c r="R211" i="25"/>
  <c r="Q211" i="25"/>
  <c r="P211" i="25"/>
  <c r="O211" i="25"/>
  <c r="N211" i="25"/>
  <c r="M211" i="25"/>
  <c r="L211" i="25"/>
  <c r="K211" i="25"/>
  <c r="J211" i="25"/>
  <c r="I211" i="25"/>
  <c r="H211" i="25"/>
  <c r="G211" i="25"/>
  <c r="F211" i="25"/>
  <c r="S210" i="25"/>
  <c r="R210" i="25"/>
  <c r="Q210" i="25"/>
  <c r="P210" i="25"/>
  <c r="O210" i="25"/>
  <c r="N210" i="25"/>
  <c r="M210" i="25"/>
  <c r="L210" i="25"/>
  <c r="K210" i="25"/>
  <c r="J210" i="25"/>
  <c r="I210" i="25"/>
  <c r="H210" i="25"/>
  <c r="G210" i="25"/>
  <c r="F210" i="25"/>
  <c r="S209" i="25"/>
  <c r="R209" i="25"/>
  <c r="Q209" i="25"/>
  <c r="P209" i="25"/>
  <c r="O209" i="25"/>
  <c r="N209" i="25"/>
  <c r="M209" i="25"/>
  <c r="L209" i="25"/>
  <c r="K209" i="25"/>
  <c r="J209" i="25"/>
  <c r="I209" i="25"/>
  <c r="H209" i="25"/>
  <c r="G209" i="25"/>
  <c r="F209" i="25"/>
  <c r="S205" i="25"/>
  <c r="R205" i="25"/>
  <c r="Q205" i="25"/>
  <c r="P205" i="25"/>
  <c r="O205" i="25"/>
  <c r="N205" i="25"/>
  <c r="M205" i="25"/>
  <c r="L205" i="25"/>
  <c r="K205" i="25"/>
  <c r="J205" i="25"/>
  <c r="I205" i="25"/>
  <c r="H205" i="25"/>
  <c r="G205" i="25"/>
  <c r="F205" i="25"/>
  <c r="S204" i="25"/>
  <c r="R204" i="25"/>
  <c r="Q204" i="25"/>
  <c r="P204" i="25"/>
  <c r="O204" i="25"/>
  <c r="N204" i="25"/>
  <c r="M204" i="25"/>
  <c r="L204" i="25"/>
  <c r="K204" i="25"/>
  <c r="J204" i="25"/>
  <c r="I204" i="25"/>
  <c r="H204" i="25"/>
  <c r="G204" i="25"/>
  <c r="F204" i="25"/>
  <c r="S203" i="25"/>
  <c r="R203" i="25"/>
  <c r="Q203" i="25"/>
  <c r="P203" i="25"/>
  <c r="O203" i="25"/>
  <c r="N203" i="25"/>
  <c r="M203" i="25"/>
  <c r="L203" i="25"/>
  <c r="K203" i="25"/>
  <c r="J203" i="25"/>
  <c r="I203" i="25"/>
  <c r="H203" i="25"/>
  <c r="G203" i="25"/>
  <c r="F203" i="25"/>
  <c r="S202" i="25"/>
  <c r="R202" i="25"/>
  <c r="Q202" i="25"/>
  <c r="P202" i="25"/>
  <c r="O202" i="25"/>
  <c r="N202" i="25"/>
  <c r="M202" i="25"/>
  <c r="L202" i="25"/>
  <c r="K202" i="25"/>
  <c r="J202" i="25"/>
  <c r="I202" i="25"/>
  <c r="H202" i="25"/>
  <c r="G202" i="25"/>
  <c r="F202" i="25"/>
  <c r="S192" i="25"/>
  <c r="R192" i="25"/>
  <c r="Q192" i="25"/>
  <c r="P192" i="25"/>
  <c r="O192" i="25"/>
  <c r="N192" i="25"/>
  <c r="M192" i="25"/>
  <c r="L192" i="25"/>
  <c r="K192" i="25"/>
  <c r="J192" i="25"/>
  <c r="I192" i="25"/>
  <c r="H192" i="25"/>
  <c r="G192" i="25"/>
  <c r="F192" i="25"/>
  <c r="S188" i="25"/>
  <c r="R188" i="25"/>
  <c r="Q188" i="25"/>
  <c r="P188" i="25"/>
  <c r="O188" i="25"/>
  <c r="N188" i="25"/>
  <c r="M188" i="25"/>
  <c r="L188" i="25"/>
  <c r="K188" i="25"/>
  <c r="J188" i="25"/>
  <c r="I188" i="25"/>
  <c r="H188" i="25"/>
  <c r="G188" i="25"/>
  <c r="F188" i="25"/>
  <c r="S186" i="25"/>
  <c r="R186" i="25"/>
  <c r="Q186" i="25"/>
  <c r="P186" i="25"/>
  <c r="O186" i="25"/>
  <c r="N186" i="25"/>
  <c r="M186" i="25"/>
  <c r="L186" i="25"/>
  <c r="K186" i="25"/>
  <c r="J186" i="25"/>
  <c r="I186" i="25"/>
  <c r="H186" i="25"/>
  <c r="G186" i="25"/>
  <c r="F186" i="25"/>
  <c r="S185" i="25"/>
  <c r="R185" i="25"/>
  <c r="Q185" i="25"/>
  <c r="P185" i="25"/>
  <c r="O185" i="25"/>
  <c r="N185" i="25"/>
  <c r="M185" i="25"/>
  <c r="L185" i="25"/>
  <c r="K185" i="25"/>
  <c r="J185" i="25"/>
  <c r="I185" i="25"/>
  <c r="H185" i="25"/>
  <c r="G185" i="25"/>
  <c r="F185" i="25"/>
  <c r="S183" i="25"/>
  <c r="R183" i="25"/>
  <c r="Q183" i="25"/>
  <c r="P183" i="25"/>
  <c r="O183" i="25"/>
  <c r="N183" i="25"/>
  <c r="L183" i="25"/>
  <c r="K183" i="25"/>
  <c r="J183" i="25"/>
  <c r="I183" i="25"/>
  <c r="H183" i="25"/>
  <c r="G183" i="25"/>
  <c r="F183" i="25"/>
  <c r="S182" i="25"/>
  <c r="R182" i="25"/>
  <c r="Q182" i="25"/>
  <c r="P182" i="25"/>
  <c r="O182" i="25"/>
  <c r="N182" i="25"/>
  <c r="M182" i="25"/>
  <c r="L182" i="25"/>
  <c r="K182" i="25"/>
  <c r="J182" i="25"/>
  <c r="I182" i="25"/>
  <c r="H182" i="25"/>
  <c r="G182" i="25"/>
  <c r="F182" i="25"/>
  <c r="S181" i="25"/>
  <c r="R181" i="25"/>
  <c r="Q181" i="25"/>
  <c r="P181" i="25"/>
  <c r="O181" i="25"/>
  <c r="N181" i="25"/>
  <c r="M181" i="25"/>
  <c r="L181" i="25"/>
  <c r="K181" i="25"/>
  <c r="J181" i="25"/>
  <c r="I181" i="25"/>
  <c r="H181" i="25"/>
  <c r="G181" i="25"/>
  <c r="F181" i="25"/>
  <c r="S180" i="25"/>
  <c r="R180" i="25"/>
  <c r="Q180" i="25"/>
  <c r="P180" i="25"/>
  <c r="O180" i="25"/>
  <c r="N180" i="25"/>
  <c r="M180" i="25"/>
  <c r="L180" i="25"/>
  <c r="K180" i="25"/>
  <c r="J180" i="25"/>
  <c r="I180" i="25"/>
  <c r="H180" i="25"/>
  <c r="G180" i="25"/>
  <c r="F180" i="25"/>
  <c r="S179" i="25"/>
  <c r="R179" i="25"/>
  <c r="Q179" i="25"/>
  <c r="P179" i="25"/>
  <c r="O179" i="25"/>
  <c r="N179" i="25"/>
  <c r="M179" i="25"/>
  <c r="L179" i="25"/>
  <c r="K179" i="25"/>
  <c r="J179" i="25"/>
  <c r="I179" i="25"/>
  <c r="H179" i="25"/>
  <c r="G179" i="25"/>
  <c r="F179" i="25"/>
  <c r="S178" i="25"/>
  <c r="R178" i="25"/>
  <c r="Q178" i="25"/>
  <c r="P178" i="25"/>
  <c r="O178" i="25"/>
  <c r="N178" i="25"/>
  <c r="M178" i="25"/>
  <c r="L178" i="25"/>
  <c r="K178" i="25"/>
  <c r="J178" i="25"/>
  <c r="I178" i="25"/>
  <c r="H178" i="25"/>
  <c r="G178" i="25"/>
  <c r="F178" i="25"/>
  <c r="S177" i="25"/>
  <c r="R177" i="25"/>
  <c r="Q177" i="25"/>
  <c r="P177" i="25"/>
  <c r="O177" i="25"/>
  <c r="N177" i="25"/>
  <c r="M177" i="25"/>
  <c r="L177" i="25"/>
  <c r="K177" i="25"/>
  <c r="J177" i="25"/>
  <c r="I177" i="25"/>
  <c r="H177" i="25"/>
  <c r="G177" i="25"/>
  <c r="F177" i="25"/>
  <c r="S176" i="25"/>
  <c r="R176" i="25"/>
  <c r="Q176" i="25"/>
  <c r="P176" i="25"/>
  <c r="O176" i="25"/>
  <c r="N176" i="25"/>
  <c r="M176" i="25"/>
  <c r="L176" i="25"/>
  <c r="K176" i="25"/>
  <c r="J176" i="25"/>
  <c r="I176" i="25"/>
  <c r="H176" i="25"/>
  <c r="G176" i="25"/>
  <c r="F176" i="25"/>
  <c r="S175" i="25"/>
  <c r="R175" i="25"/>
  <c r="Q175" i="25"/>
  <c r="P175" i="25"/>
  <c r="O175" i="25"/>
  <c r="N175" i="25"/>
  <c r="M175" i="25"/>
  <c r="L175" i="25"/>
  <c r="K175" i="25"/>
  <c r="J175" i="25"/>
  <c r="I175" i="25"/>
  <c r="H175" i="25"/>
  <c r="G175" i="25"/>
  <c r="F175" i="25"/>
  <c r="S174" i="25"/>
  <c r="R174" i="25"/>
  <c r="Q174" i="25"/>
  <c r="P174" i="25"/>
  <c r="O174" i="25"/>
  <c r="N174" i="25"/>
  <c r="M174" i="25"/>
  <c r="L174" i="25"/>
  <c r="K174" i="25"/>
  <c r="J174" i="25"/>
  <c r="I174" i="25"/>
  <c r="H174" i="25"/>
  <c r="G174" i="25"/>
  <c r="F174" i="25"/>
  <c r="S173" i="25"/>
  <c r="R173" i="25"/>
  <c r="Q173" i="25"/>
  <c r="P173" i="25"/>
  <c r="O173" i="25"/>
  <c r="N173" i="25"/>
  <c r="M173" i="25"/>
  <c r="L173" i="25"/>
  <c r="K173" i="25"/>
  <c r="J173" i="25"/>
  <c r="I173" i="25"/>
  <c r="H173" i="25"/>
  <c r="G173" i="25"/>
  <c r="F173" i="25"/>
  <c r="S172" i="25"/>
  <c r="R172" i="25"/>
  <c r="Q172" i="25"/>
  <c r="P172" i="25"/>
  <c r="O172" i="25"/>
  <c r="N172" i="25"/>
  <c r="M172" i="25"/>
  <c r="L172" i="25"/>
  <c r="K172" i="25"/>
  <c r="J172" i="25"/>
  <c r="I172" i="25"/>
  <c r="H172" i="25"/>
  <c r="G172" i="25"/>
  <c r="F172" i="25"/>
  <c r="S169" i="25"/>
  <c r="R169" i="25"/>
  <c r="Q169" i="25"/>
  <c r="P169" i="25"/>
  <c r="O169" i="25"/>
  <c r="N169" i="25"/>
  <c r="M169" i="25"/>
  <c r="L169" i="25"/>
  <c r="K169" i="25"/>
  <c r="J169" i="25"/>
  <c r="I169" i="25"/>
  <c r="H169" i="25"/>
  <c r="G169" i="25"/>
  <c r="F169" i="25"/>
  <c r="S168" i="25"/>
  <c r="R168" i="25"/>
  <c r="Q168" i="25"/>
  <c r="P168" i="25"/>
  <c r="O168" i="25"/>
  <c r="N168" i="25"/>
  <c r="M168" i="25"/>
  <c r="L168" i="25"/>
  <c r="K168" i="25"/>
  <c r="J168" i="25"/>
  <c r="I168" i="25"/>
  <c r="H168" i="25"/>
  <c r="G168" i="25"/>
  <c r="F168" i="25"/>
  <c r="S165" i="25"/>
  <c r="R165" i="25"/>
  <c r="Q165" i="25"/>
  <c r="P165" i="25"/>
  <c r="O165" i="25"/>
  <c r="N165" i="25"/>
  <c r="M165" i="25"/>
  <c r="L165" i="25"/>
  <c r="K165" i="25"/>
  <c r="J165" i="25"/>
  <c r="I165" i="25"/>
  <c r="H165" i="25"/>
  <c r="G165" i="25"/>
  <c r="F165" i="25"/>
  <c r="S164" i="25"/>
  <c r="R164" i="25"/>
  <c r="Q164" i="25"/>
  <c r="P164" i="25"/>
  <c r="O164" i="25"/>
  <c r="N164" i="25"/>
  <c r="M164" i="25"/>
  <c r="L164" i="25"/>
  <c r="K164" i="25"/>
  <c r="J164" i="25"/>
  <c r="I164" i="25"/>
  <c r="H164" i="25"/>
  <c r="G164" i="25"/>
  <c r="F164" i="25"/>
  <c r="S163" i="25"/>
  <c r="R163" i="25"/>
  <c r="Q163" i="25"/>
  <c r="P163" i="25"/>
  <c r="O163" i="25"/>
  <c r="N163" i="25"/>
  <c r="M163" i="25"/>
  <c r="L163" i="25"/>
  <c r="K163" i="25"/>
  <c r="J163" i="25"/>
  <c r="I163" i="25"/>
  <c r="H163" i="25"/>
  <c r="G163" i="25"/>
  <c r="F163" i="25"/>
  <c r="S156" i="25"/>
  <c r="R156" i="25"/>
  <c r="Q156" i="25"/>
  <c r="P156" i="25"/>
  <c r="O156" i="25"/>
  <c r="N156" i="25"/>
  <c r="M156" i="25"/>
  <c r="L156" i="25"/>
  <c r="K156" i="25"/>
  <c r="J156" i="25"/>
  <c r="I156" i="25"/>
  <c r="H156" i="25"/>
  <c r="G156" i="25"/>
  <c r="F156" i="25"/>
  <c r="S155" i="25"/>
  <c r="R155" i="25"/>
  <c r="Q155" i="25"/>
  <c r="P155" i="25"/>
  <c r="O155" i="25"/>
  <c r="N155" i="25"/>
  <c r="M155" i="25"/>
  <c r="L155" i="25"/>
  <c r="K155" i="25"/>
  <c r="J155" i="25"/>
  <c r="I155" i="25"/>
  <c r="H155" i="25"/>
  <c r="G155" i="25"/>
  <c r="F155" i="25"/>
  <c r="S151" i="25"/>
  <c r="R151" i="25"/>
  <c r="Q151" i="25"/>
  <c r="P151" i="25"/>
  <c r="O151" i="25"/>
  <c r="N151" i="25"/>
  <c r="M151" i="25"/>
  <c r="L151" i="25"/>
  <c r="K151" i="25"/>
  <c r="J151" i="25"/>
  <c r="I151" i="25"/>
  <c r="H151" i="25"/>
  <c r="G151" i="25"/>
  <c r="F151" i="25"/>
  <c r="S150" i="25"/>
  <c r="R150" i="25"/>
  <c r="Q150" i="25"/>
  <c r="P150" i="25"/>
  <c r="O150" i="25"/>
  <c r="N150" i="25"/>
  <c r="M150" i="25"/>
  <c r="L150" i="25"/>
  <c r="K150" i="25"/>
  <c r="J150" i="25"/>
  <c r="I150" i="25"/>
  <c r="H150" i="25"/>
  <c r="G150" i="25"/>
  <c r="F150" i="25"/>
  <c r="S147" i="25"/>
  <c r="R147" i="25"/>
  <c r="Q147" i="25"/>
  <c r="P147" i="25"/>
  <c r="O147" i="25"/>
  <c r="N147" i="25"/>
  <c r="M147" i="25"/>
  <c r="K147" i="25"/>
  <c r="J147" i="25"/>
  <c r="I147" i="25"/>
  <c r="H147" i="25"/>
  <c r="G147" i="25"/>
  <c r="F147" i="25"/>
  <c r="S146" i="25"/>
  <c r="R146" i="25"/>
  <c r="Q146" i="25"/>
  <c r="Q148" i="25"/>
  <c r="P146" i="25"/>
  <c r="P148" i="25" s="1"/>
  <c r="O146" i="25"/>
  <c r="N146" i="25"/>
  <c r="N148" i="25" s="1"/>
  <c r="N152" i="25" s="1"/>
  <c r="N153" i="25" s="1"/>
  <c r="M146" i="25"/>
  <c r="M148" i="25" s="1"/>
  <c r="L146" i="25"/>
  <c r="K146" i="25"/>
  <c r="J146" i="25"/>
  <c r="I146" i="25"/>
  <c r="I148" i="25"/>
  <c r="H146" i="25"/>
  <c r="H148" i="25" s="1"/>
  <c r="G146" i="25"/>
  <c r="F146" i="25"/>
  <c r="S139" i="25"/>
  <c r="R139" i="25"/>
  <c r="Q139" i="25"/>
  <c r="P139" i="25"/>
  <c r="O139" i="25"/>
  <c r="N139" i="25"/>
  <c r="M139" i="25"/>
  <c r="L139" i="25"/>
  <c r="K139" i="25"/>
  <c r="J139" i="25"/>
  <c r="I139" i="25"/>
  <c r="H139" i="25"/>
  <c r="G139" i="25"/>
  <c r="F139" i="25"/>
  <c r="S138" i="25"/>
  <c r="R138" i="25"/>
  <c r="Q138" i="25"/>
  <c r="P138" i="25"/>
  <c r="O138" i="25"/>
  <c r="N138" i="25"/>
  <c r="M138" i="25"/>
  <c r="L138" i="25"/>
  <c r="K138" i="25"/>
  <c r="J138" i="25"/>
  <c r="I138" i="25"/>
  <c r="H138" i="25"/>
  <c r="G138" i="25"/>
  <c r="F138" i="25"/>
  <c r="S137" i="25"/>
  <c r="R137" i="25"/>
  <c r="Q137" i="25"/>
  <c r="P137" i="25"/>
  <c r="O137" i="25"/>
  <c r="N137" i="25"/>
  <c r="M137" i="25"/>
  <c r="L137" i="25"/>
  <c r="K137" i="25"/>
  <c r="J137" i="25"/>
  <c r="I137" i="25"/>
  <c r="H137" i="25"/>
  <c r="G137" i="25"/>
  <c r="F137" i="25"/>
  <c r="S136" i="25"/>
  <c r="R136" i="25"/>
  <c r="Q136" i="25"/>
  <c r="P136" i="25"/>
  <c r="O136" i="25"/>
  <c r="N136" i="25"/>
  <c r="M136" i="25"/>
  <c r="L136" i="25"/>
  <c r="K136" i="25"/>
  <c r="J136" i="25"/>
  <c r="I136" i="25"/>
  <c r="H136" i="25"/>
  <c r="G136" i="25"/>
  <c r="F136" i="25"/>
  <c r="S135" i="25"/>
  <c r="R135" i="25"/>
  <c r="Q135" i="25"/>
  <c r="P135" i="25"/>
  <c r="O135" i="25"/>
  <c r="N135" i="25"/>
  <c r="M135" i="25"/>
  <c r="L135" i="25"/>
  <c r="K135" i="25"/>
  <c r="J135" i="25"/>
  <c r="I135" i="25"/>
  <c r="H135" i="25"/>
  <c r="G135" i="25"/>
  <c r="F135" i="25"/>
  <c r="S129" i="25"/>
  <c r="R129" i="25"/>
  <c r="Q129" i="25"/>
  <c r="P129" i="25"/>
  <c r="O129" i="25"/>
  <c r="N129" i="25"/>
  <c r="M129" i="25"/>
  <c r="L129" i="25"/>
  <c r="K129" i="25"/>
  <c r="J129" i="25"/>
  <c r="I129" i="25"/>
  <c r="H129" i="25"/>
  <c r="G129" i="25"/>
  <c r="F129" i="25"/>
  <c r="S128" i="25"/>
  <c r="R128" i="25"/>
  <c r="Q128" i="25"/>
  <c r="P128" i="25"/>
  <c r="O128" i="25"/>
  <c r="N128" i="25"/>
  <c r="M128" i="25"/>
  <c r="L128" i="25"/>
  <c r="K128" i="25"/>
  <c r="J128" i="25"/>
  <c r="I128" i="25"/>
  <c r="H128" i="25"/>
  <c r="G128" i="25"/>
  <c r="F128" i="25"/>
  <c r="S127" i="25"/>
  <c r="R127" i="25"/>
  <c r="Q127" i="25"/>
  <c r="P127" i="25"/>
  <c r="O127" i="25"/>
  <c r="N127" i="25"/>
  <c r="M127" i="25"/>
  <c r="L127" i="25"/>
  <c r="K127" i="25"/>
  <c r="J127" i="25"/>
  <c r="I127" i="25"/>
  <c r="H127" i="25"/>
  <c r="G127" i="25"/>
  <c r="F127" i="25"/>
  <c r="S126" i="25"/>
  <c r="R126" i="25"/>
  <c r="Q126" i="25"/>
  <c r="P126" i="25"/>
  <c r="O126" i="25"/>
  <c r="N126" i="25"/>
  <c r="M126" i="25"/>
  <c r="L126" i="25"/>
  <c r="K126" i="25"/>
  <c r="J126" i="25"/>
  <c r="I126" i="25"/>
  <c r="H126" i="25"/>
  <c r="G126" i="25"/>
  <c r="F126" i="25"/>
  <c r="S125" i="25"/>
  <c r="R125" i="25"/>
  <c r="Q125" i="25"/>
  <c r="P125" i="25"/>
  <c r="O125" i="25"/>
  <c r="N125" i="25"/>
  <c r="M125" i="25"/>
  <c r="L125" i="25"/>
  <c r="K125" i="25"/>
  <c r="J125" i="25"/>
  <c r="I125" i="25"/>
  <c r="H125" i="25"/>
  <c r="G125" i="25"/>
  <c r="F125" i="25"/>
  <c r="S124" i="25"/>
  <c r="R124" i="25"/>
  <c r="Q124" i="25"/>
  <c r="P124" i="25"/>
  <c r="O124" i="25"/>
  <c r="N124" i="25"/>
  <c r="M124" i="25"/>
  <c r="L124" i="25"/>
  <c r="K124" i="25"/>
  <c r="J124" i="25"/>
  <c r="I124" i="25"/>
  <c r="H124" i="25"/>
  <c r="G124" i="25"/>
  <c r="F124" i="25"/>
  <c r="S122" i="25"/>
  <c r="R122" i="25"/>
  <c r="Q122" i="25"/>
  <c r="P122" i="25"/>
  <c r="O122" i="25"/>
  <c r="N122" i="25"/>
  <c r="M122" i="25"/>
  <c r="L122" i="25"/>
  <c r="K122" i="25"/>
  <c r="J122" i="25"/>
  <c r="I122" i="25"/>
  <c r="H122" i="25"/>
  <c r="G122" i="25"/>
  <c r="F122" i="25"/>
  <c r="S121" i="25"/>
  <c r="R121" i="25"/>
  <c r="Q121" i="25"/>
  <c r="P121" i="25"/>
  <c r="O121" i="25"/>
  <c r="N121" i="25"/>
  <c r="M121" i="25"/>
  <c r="L121" i="25"/>
  <c r="K121" i="25"/>
  <c r="J121" i="25"/>
  <c r="I121" i="25"/>
  <c r="H121" i="25"/>
  <c r="G121" i="25"/>
  <c r="F121" i="25"/>
  <c r="S120" i="25"/>
  <c r="R120" i="25"/>
  <c r="Q120" i="25"/>
  <c r="P120" i="25"/>
  <c r="O120" i="25"/>
  <c r="N120" i="25"/>
  <c r="M120" i="25"/>
  <c r="L120" i="25"/>
  <c r="K120" i="25"/>
  <c r="J120" i="25"/>
  <c r="I120" i="25"/>
  <c r="H120" i="25"/>
  <c r="G120" i="25"/>
  <c r="F120" i="25"/>
  <c r="S119" i="25"/>
  <c r="R119" i="25"/>
  <c r="Q119" i="25"/>
  <c r="P119" i="25"/>
  <c r="O119" i="25"/>
  <c r="N119" i="25"/>
  <c r="M119" i="25"/>
  <c r="L119" i="25"/>
  <c r="K119" i="25"/>
  <c r="J119" i="25"/>
  <c r="I119" i="25"/>
  <c r="H119" i="25"/>
  <c r="G119" i="25"/>
  <c r="F119" i="25"/>
  <c r="S114" i="25"/>
  <c r="R114" i="25"/>
  <c r="Q114" i="25"/>
  <c r="P114" i="25"/>
  <c r="O114" i="25"/>
  <c r="N114" i="25"/>
  <c r="M114" i="25"/>
  <c r="L114" i="25"/>
  <c r="K114" i="25"/>
  <c r="J114" i="25"/>
  <c r="I114" i="25"/>
  <c r="H114" i="25"/>
  <c r="G114" i="25"/>
  <c r="F114" i="25"/>
  <c r="S113" i="25"/>
  <c r="R113" i="25"/>
  <c r="Q113" i="25"/>
  <c r="P113" i="25"/>
  <c r="O113" i="25"/>
  <c r="N113" i="25"/>
  <c r="M113" i="25"/>
  <c r="L113" i="25"/>
  <c r="K113" i="25"/>
  <c r="J113" i="25"/>
  <c r="I113" i="25"/>
  <c r="H113" i="25"/>
  <c r="G113" i="25"/>
  <c r="F113" i="25"/>
  <c r="S112" i="25"/>
  <c r="R112" i="25"/>
  <c r="Q112" i="25"/>
  <c r="P112" i="25"/>
  <c r="O112" i="25"/>
  <c r="N112" i="25"/>
  <c r="M112" i="25"/>
  <c r="L112" i="25"/>
  <c r="K112" i="25"/>
  <c r="J112" i="25"/>
  <c r="I112" i="25"/>
  <c r="H112" i="25"/>
  <c r="G112" i="25"/>
  <c r="F112" i="25"/>
  <c r="S110" i="25"/>
  <c r="R110" i="25"/>
  <c r="Q110" i="25"/>
  <c r="P110" i="25"/>
  <c r="O110" i="25"/>
  <c r="N110" i="25"/>
  <c r="K110" i="25"/>
  <c r="I110" i="25"/>
  <c r="G110" i="25"/>
  <c r="F110" i="25"/>
  <c r="S109" i="25"/>
  <c r="R109" i="25"/>
  <c r="Q109" i="25"/>
  <c r="P109" i="25"/>
  <c r="O109" i="25"/>
  <c r="N109" i="25"/>
  <c r="M109" i="25"/>
  <c r="L109" i="25"/>
  <c r="K109" i="25"/>
  <c r="J109" i="25"/>
  <c r="I109" i="25"/>
  <c r="H109" i="25"/>
  <c r="G109" i="25"/>
  <c r="F109" i="25"/>
  <c r="S108" i="25"/>
  <c r="R108" i="25"/>
  <c r="Q108" i="25"/>
  <c r="P108" i="25"/>
  <c r="O108" i="25"/>
  <c r="N108" i="25"/>
  <c r="M108" i="25"/>
  <c r="L108" i="25"/>
  <c r="K108" i="25"/>
  <c r="J108" i="25"/>
  <c r="I108" i="25"/>
  <c r="H108" i="25"/>
  <c r="G108" i="25"/>
  <c r="F108" i="25"/>
  <c r="S107" i="25"/>
  <c r="R107" i="25"/>
  <c r="Q107" i="25"/>
  <c r="P107" i="25"/>
  <c r="O107" i="25"/>
  <c r="N107" i="25"/>
  <c r="M107" i="25"/>
  <c r="L107" i="25"/>
  <c r="K107" i="25"/>
  <c r="J107" i="25"/>
  <c r="I107" i="25"/>
  <c r="H107" i="25"/>
  <c r="G107" i="25"/>
  <c r="F107" i="25"/>
  <c r="S106" i="25"/>
  <c r="R106" i="25"/>
  <c r="Q106" i="25"/>
  <c r="P106" i="25"/>
  <c r="O106" i="25"/>
  <c r="N106" i="25"/>
  <c r="M106" i="25"/>
  <c r="L106" i="25"/>
  <c r="K106" i="25"/>
  <c r="J106" i="25"/>
  <c r="I106" i="25"/>
  <c r="H106" i="25"/>
  <c r="G106" i="25"/>
  <c r="F106" i="25"/>
  <c r="S103" i="25"/>
  <c r="R103" i="25"/>
  <c r="Q103" i="25"/>
  <c r="P103" i="25"/>
  <c r="O103" i="25"/>
  <c r="N103" i="25"/>
  <c r="M103" i="25"/>
  <c r="L103" i="25"/>
  <c r="K103" i="25"/>
  <c r="J103" i="25"/>
  <c r="I103" i="25"/>
  <c r="H103" i="25"/>
  <c r="G103" i="25"/>
  <c r="F103" i="25"/>
  <c r="S102" i="25"/>
  <c r="R102" i="25"/>
  <c r="Q102" i="25"/>
  <c r="P102" i="25"/>
  <c r="O102" i="25"/>
  <c r="N102" i="25"/>
  <c r="M102" i="25"/>
  <c r="L102" i="25"/>
  <c r="K102" i="25"/>
  <c r="J102" i="25"/>
  <c r="I102" i="25"/>
  <c r="H102" i="25"/>
  <c r="G102" i="25"/>
  <c r="F102" i="25"/>
  <c r="S101" i="25"/>
  <c r="R101" i="25"/>
  <c r="Q101" i="25"/>
  <c r="P101" i="25"/>
  <c r="O101" i="25"/>
  <c r="N101" i="25"/>
  <c r="M101" i="25"/>
  <c r="L101" i="25"/>
  <c r="K101" i="25"/>
  <c r="J101" i="25"/>
  <c r="I101" i="25"/>
  <c r="H101" i="25"/>
  <c r="G101" i="25"/>
  <c r="F101" i="25"/>
  <c r="S99" i="25"/>
  <c r="R99" i="25"/>
  <c r="Q99" i="25"/>
  <c r="P99" i="25"/>
  <c r="O99" i="25"/>
  <c r="N99" i="25"/>
  <c r="M99" i="25"/>
  <c r="L99" i="25"/>
  <c r="K99" i="25"/>
  <c r="J99" i="25"/>
  <c r="I99" i="25"/>
  <c r="H99" i="25"/>
  <c r="G99" i="25"/>
  <c r="F99" i="25"/>
  <c r="S98" i="25"/>
  <c r="R98" i="25"/>
  <c r="Q98" i="25"/>
  <c r="P98" i="25"/>
  <c r="O98" i="25"/>
  <c r="N98" i="25"/>
  <c r="M98" i="25"/>
  <c r="L98" i="25"/>
  <c r="K98" i="25"/>
  <c r="J98" i="25"/>
  <c r="I98" i="25"/>
  <c r="H98" i="25"/>
  <c r="G98" i="25"/>
  <c r="F98" i="25"/>
  <c r="S97" i="25"/>
  <c r="R97" i="25"/>
  <c r="Q97" i="25"/>
  <c r="P97" i="25"/>
  <c r="O97" i="25"/>
  <c r="N97" i="25"/>
  <c r="M97" i="25"/>
  <c r="L97" i="25"/>
  <c r="K97" i="25"/>
  <c r="J97" i="25"/>
  <c r="I97" i="25"/>
  <c r="H97" i="25"/>
  <c r="G97" i="25"/>
  <c r="F97" i="25"/>
  <c r="S96" i="25"/>
  <c r="R96" i="25"/>
  <c r="Q96" i="25"/>
  <c r="P96" i="25"/>
  <c r="O96" i="25"/>
  <c r="N96" i="25"/>
  <c r="M96" i="25"/>
  <c r="L96" i="25"/>
  <c r="K96" i="25"/>
  <c r="J96" i="25"/>
  <c r="I96" i="25"/>
  <c r="H96" i="25"/>
  <c r="G96" i="25"/>
  <c r="F96" i="25"/>
  <c r="S95" i="25"/>
  <c r="R95" i="25"/>
  <c r="Q95" i="25"/>
  <c r="P95" i="25"/>
  <c r="O95" i="25"/>
  <c r="N95" i="25"/>
  <c r="M95" i="25"/>
  <c r="L95" i="25"/>
  <c r="K95" i="25"/>
  <c r="J95" i="25"/>
  <c r="I95" i="25"/>
  <c r="H95" i="25"/>
  <c r="G95" i="25"/>
  <c r="F95" i="25"/>
  <c r="S91" i="25"/>
  <c r="R91" i="25"/>
  <c r="Q91" i="25"/>
  <c r="P91" i="25"/>
  <c r="O91" i="25"/>
  <c r="N91" i="25"/>
  <c r="M91" i="25"/>
  <c r="L91" i="25"/>
  <c r="K91" i="25"/>
  <c r="J91" i="25"/>
  <c r="I91" i="25"/>
  <c r="H91" i="25"/>
  <c r="G91" i="25"/>
  <c r="F91" i="25"/>
  <c r="S90" i="25"/>
  <c r="S380" i="25" s="1"/>
  <c r="R90" i="25"/>
  <c r="R380" i="25"/>
  <c r="Q90" i="25"/>
  <c r="Q380" i="25" s="1"/>
  <c r="P90" i="25"/>
  <c r="P380" i="25"/>
  <c r="O90" i="25"/>
  <c r="O380" i="25" s="1"/>
  <c r="N90" i="25"/>
  <c r="N380" i="25"/>
  <c r="M90" i="25"/>
  <c r="M380" i="25" s="1"/>
  <c r="L90" i="25"/>
  <c r="L380" i="25"/>
  <c r="K90" i="25"/>
  <c r="K380" i="25" s="1"/>
  <c r="J90" i="25"/>
  <c r="J380" i="25"/>
  <c r="I90" i="25"/>
  <c r="I380" i="25" s="1"/>
  <c r="H90" i="25"/>
  <c r="H380" i="25"/>
  <c r="G90" i="25"/>
  <c r="G380" i="25" s="1"/>
  <c r="F90" i="25"/>
  <c r="F380" i="25"/>
  <c r="S88" i="25"/>
  <c r="R88" i="25"/>
  <c r="Q88" i="25"/>
  <c r="P88" i="25"/>
  <c r="O88" i="25"/>
  <c r="N88" i="25"/>
  <c r="M88" i="25"/>
  <c r="L88" i="25"/>
  <c r="K88" i="25"/>
  <c r="J88" i="25"/>
  <c r="I88" i="25"/>
  <c r="H88" i="25"/>
  <c r="G88" i="25"/>
  <c r="F88" i="25"/>
  <c r="S86" i="25"/>
  <c r="R86" i="25"/>
  <c r="Q86" i="25"/>
  <c r="P86" i="25"/>
  <c r="O86" i="25"/>
  <c r="N86" i="25"/>
  <c r="M86" i="25"/>
  <c r="L86" i="25"/>
  <c r="K86" i="25"/>
  <c r="J86" i="25"/>
  <c r="I86" i="25"/>
  <c r="H86" i="25"/>
  <c r="G86" i="25"/>
  <c r="F86" i="25"/>
  <c r="S85" i="25"/>
  <c r="R85" i="25"/>
  <c r="Q85" i="25"/>
  <c r="P85" i="25"/>
  <c r="O85" i="25"/>
  <c r="N85" i="25"/>
  <c r="M85" i="25"/>
  <c r="L85" i="25"/>
  <c r="K85" i="25"/>
  <c r="J85" i="25"/>
  <c r="I85" i="25"/>
  <c r="H85" i="25"/>
  <c r="G85" i="25"/>
  <c r="F85" i="25"/>
  <c r="S83" i="25"/>
  <c r="R83" i="25"/>
  <c r="Q83" i="25"/>
  <c r="P83" i="25"/>
  <c r="O83" i="25"/>
  <c r="N83" i="25"/>
  <c r="M83" i="25"/>
  <c r="L83" i="25"/>
  <c r="K83" i="25"/>
  <c r="J83" i="25"/>
  <c r="I83" i="25"/>
  <c r="H83" i="25"/>
  <c r="G83" i="25"/>
  <c r="F83" i="25"/>
  <c r="S82" i="25"/>
  <c r="R82" i="25"/>
  <c r="Q82" i="25"/>
  <c r="P82" i="25"/>
  <c r="O82" i="25"/>
  <c r="N82" i="25"/>
  <c r="M82" i="25"/>
  <c r="L82" i="25"/>
  <c r="K82" i="25"/>
  <c r="J82" i="25"/>
  <c r="I82" i="25"/>
  <c r="H82" i="25"/>
  <c r="G82" i="25"/>
  <c r="F82" i="25"/>
  <c r="S76" i="25"/>
  <c r="R76" i="25"/>
  <c r="Q76" i="25"/>
  <c r="P76" i="25"/>
  <c r="O76" i="25"/>
  <c r="N76" i="25"/>
  <c r="M76" i="25"/>
  <c r="L76" i="25"/>
  <c r="K76" i="25"/>
  <c r="J76" i="25"/>
  <c r="I76" i="25"/>
  <c r="H76" i="25"/>
  <c r="G76" i="25"/>
  <c r="F76" i="25"/>
  <c r="S71" i="25"/>
  <c r="R71" i="25"/>
  <c r="Q71" i="25"/>
  <c r="P71" i="25"/>
  <c r="O71" i="25"/>
  <c r="N71" i="25"/>
  <c r="M71" i="25"/>
  <c r="L71" i="25"/>
  <c r="K71" i="25"/>
  <c r="J71" i="25"/>
  <c r="I71" i="25"/>
  <c r="H71" i="25"/>
  <c r="G71" i="25"/>
  <c r="F71" i="25"/>
  <c r="S49" i="25"/>
  <c r="R49" i="25"/>
  <c r="Q49" i="25"/>
  <c r="P49" i="25"/>
  <c r="O49" i="25"/>
  <c r="N49" i="25"/>
  <c r="M49" i="25"/>
  <c r="L49" i="25"/>
  <c r="K49" i="25"/>
  <c r="J49" i="25"/>
  <c r="I49" i="25"/>
  <c r="H49" i="25"/>
  <c r="G49" i="25"/>
  <c r="F49" i="25"/>
  <c r="S46" i="25"/>
  <c r="R46" i="25"/>
  <c r="Q46" i="25"/>
  <c r="P46" i="25"/>
  <c r="O46" i="25"/>
  <c r="N46" i="25"/>
  <c r="M46" i="25"/>
  <c r="L46" i="25"/>
  <c r="K46" i="25"/>
  <c r="J46" i="25"/>
  <c r="I46" i="25"/>
  <c r="H46" i="25"/>
  <c r="G46" i="25"/>
  <c r="F46" i="25"/>
  <c r="N475" i="16"/>
  <c r="M475" i="16"/>
  <c r="S473" i="16"/>
  <c r="R473" i="16"/>
  <c r="Q473" i="16"/>
  <c r="P473" i="16"/>
  <c r="O473" i="16"/>
  <c r="N473" i="16"/>
  <c r="M473" i="16"/>
  <c r="L473" i="16"/>
  <c r="K473" i="16"/>
  <c r="J473" i="16"/>
  <c r="I473" i="16"/>
  <c r="H473" i="16"/>
  <c r="G473" i="16"/>
  <c r="F473" i="16"/>
  <c r="S471" i="16"/>
  <c r="R471" i="16"/>
  <c r="Q471" i="16"/>
  <c r="P471" i="16"/>
  <c r="O471" i="16"/>
  <c r="N471" i="16"/>
  <c r="M471" i="16"/>
  <c r="L471" i="16"/>
  <c r="K471" i="16"/>
  <c r="J471" i="16"/>
  <c r="I471" i="16"/>
  <c r="H471" i="16"/>
  <c r="G471" i="16"/>
  <c r="F471" i="16"/>
  <c r="S466" i="16"/>
  <c r="R466" i="16"/>
  <c r="Q466" i="16"/>
  <c r="P466" i="16"/>
  <c r="O466" i="16"/>
  <c r="K466" i="16"/>
  <c r="J466" i="16"/>
  <c r="I466" i="16"/>
  <c r="H466" i="16"/>
  <c r="G466" i="16"/>
  <c r="F466" i="16"/>
  <c r="S465" i="16"/>
  <c r="R465" i="16"/>
  <c r="Q465" i="16"/>
  <c r="P465" i="16"/>
  <c r="O465" i="16"/>
  <c r="N465" i="16"/>
  <c r="M465" i="16"/>
  <c r="L465" i="16"/>
  <c r="K465" i="16"/>
  <c r="J465" i="16"/>
  <c r="I465" i="16"/>
  <c r="H465" i="16"/>
  <c r="G465" i="16"/>
  <c r="F465" i="16"/>
  <c r="S464" i="16"/>
  <c r="R464" i="16"/>
  <c r="Q464" i="16"/>
  <c r="P464" i="16"/>
  <c r="O464" i="16"/>
  <c r="N464" i="16"/>
  <c r="M464" i="16"/>
  <c r="L464" i="16"/>
  <c r="K464" i="16"/>
  <c r="J464" i="16"/>
  <c r="I464" i="16"/>
  <c r="H464" i="16"/>
  <c r="G464" i="16"/>
  <c r="F464" i="16"/>
  <c r="N462" i="16"/>
  <c r="M462" i="16"/>
  <c r="L462" i="16"/>
  <c r="K462" i="16"/>
  <c r="J462" i="16"/>
  <c r="I462" i="16"/>
  <c r="H462" i="16"/>
  <c r="G462" i="16"/>
  <c r="F462" i="16"/>
  <c r="S461" i="16"/>
  <c r="R461" i="16"/>
  <c r="Q461" i="16"/>
  <c r="P461" i="16"/>
  <c r="O461" i="16"/>
  <c r="N461" i="16"/>
  <c r="M461" i="16"/>
  <c r="L461" i="16"/>
  <c r="K461" i="16"/>
  <c r="J461" i="16"/>
  <c r="I461" i="16"/>
  <c r="H461" i="16"/>
  <c r="G461" i="16"/>
  <c r="F461" i="16"/>
  <c r="S460" i="16"/>
  <c r="R460" i="16"/>
  <c r="Q460" i="16"/>
  <c r="P460" i="16"/>
  <c r="O460" i="16"/>
  <c r="N460" i="16"/>
  <c r="M460" i="16"/>
  <c r="L460" i="16"/>
  <c r="K460" i="16"/>
  <c r="J460" i="16"/>
  <c r="I460" i="16"/>
  <c r="H460" i="16"/>
  <c r="G460" i="16"/>
  <c r="F460" i="16"/>
  <c r="S459" i="16"/>
  <c r="R459" i="16"/>
  <c r="Q459" i="16"/>
  <c r="P459" i="16"/>
  <c r="O459" i="16"/>
  <c r="N459" i="16"/>
  <c r="M459" i="16"/>
  <c r="L459" i="16"/>
  <c r="K459" i="16"/>
  <c r="J459" i="16"/>
  <c r="I459" i="16"/>
  <c r="H459" i="16"/>
  <c r="G459" i="16"/>
  <c r="F459" i="16"/>
  <c r="S458" i="16"/>
  <c r="R458" i="16"/>
  <c r="Q458" i="16"/>
  <c r="P458" i="16"/>
  <c r="O458" i="16"/>
  <c r="N458" i="16"/>
  <c r="M458" i="16"/>
  <c r="L458" i="16"/>
  <c r="K458" i="16"/>
  <c r="J458" i="16"/>
  <c r="I458" i="16"/>
  <c r="H458" i="16"/>
  <c r="G458" i="16"/>
  <c r="F458" i="16"/>
  <c r="S457" i="16"/>
  <c r="R457" i="16"/>
  <c r="Q457" i="16"/>
  <c r="P457" i="16"/>
  <c r="O457" i="16"/>
  <c r="N457" i="16"/>
  <c r="M457" i="16"/>
  <c r="L457" i="16"/>
  <c r="K457" i="16"/>
  <c r="J457" i="16"/>
  <c r="I457" i="16"/>
  <c r="H457" i="16"/>
  <c r="G457" i="16"/>
  <c r="F457" i="16"/>
  <c r="S456" i="16"/>
  <c r="R456" i="16"/>
  <c r="Q456" i="16"/>
  <c r="P456" i="16"/>
  <c r="O456" i="16"/>
  <c r="N456" i="16"/>
  <c r="M456" i="16"/>
  <c r="L456" i="16"/>
  <c r="K456" i="16"/>
  <c r="J456" i="16"/>
  <c r="I456" i="16"/>
  <c r="H456" i="16"/>
  <c r="G456" i="16"/>
  <c r="F456" i="16"/>
  <c r="S453" i="16"/>
  <c r="R453" i="16"/>
  <c r="Q453" i="16"/>
  <c r="P453" i="16"/>
  <c r="O453" i="16"/>
  <c r="N453" i="16"/>
  <c r="M453" i="16"/>
  <c r="L453" i="16"/>
  <c r="K453" i="16"/>
  <c r="J453" i="16"/>
  <c r="I453" i="16"/>
  <c r="H453" i="16"/>
  <c r="G453" i="16"/>
  <c r="F453" i="16"/>
  <c r="S452" i="16"/>
  <c r="R452" i="16"/>
  <c r="Q452" i="16"/>
  <c r="P452" i="16"/>
  <c r="O452" i="16"/>
  <c r="N452" i="16"/>
  <c r="L452" i="16"/>
  <c r="K452" i="16"/>
  <c r="J452" i="16"/>
  <c r="I452" i="16"/>
  <c r="H452" i="16"/>
  <c r="G452" i="16"/>
  <c r="F452" i="16"/>
  <c r="S444" i="16"/>
  <c r="S445" i="16"/>
  <c r="R444" i="16"/>
  <c r="R445" i="16" s="1"/>
  <c r="Q444" i="16"/>
  <c r="Q445" i="16"/>
  <c r="P444" i="16"/>
  <c r="P445" i="16" s="1"/>
  <c r="O444" i="16"/>
  <c r="O445" i="16"/>
  <c r="N444" i="16"/>
  <c r="N445" i="16" s="1"/>
  <c r="M444" i="16"/>
  <c r="M445" i="16"/>
  <c r="L444" i="16"/>
  <c r="L445" i="16" s="1"/>
  <c r="K444" i="16"/>
  <c r="K445" i="16"/>
  <c r="J444" i="16"/>
  <c r="J445" i="16" s="1"/>
  <c r="I444" i="16"/>
  <c r="I445" i="16"/>
  <c r="H444" i="16"/>
  <c r="H445" i="16" s="1"/>
  <c r="G444" i="16"/>
  <c r="G445" i="16"/>
  <c r="F444" i="16"/>
  <c r="F445" i="16" s="1"/>
  <c r="S439" i="16"/>
  <c r="R439" i="16"/>
  <c r="Q439" i="16"/>
  <c r="P439" i="16"/>
  <c r="O439" i="16"/>
  <c r="N439" i="16"/>
  <c r="M439" i="16"/>
  <c r="L439" i="16"/>
  <c r="K439" i="16"/>
  <c r="J439" i="16"/>
  <c r="I439" i="16"/>
  <c r="H439" i="16"/>
  <c r="G439" i="16"/>
  <c r="F439" i="16"/>
  <c r="S438" i="16"/>
  <c r="R438" i="16"/>
  <c r="Q438" i="16"/>
  <c r="P438" i="16"/>
  <c r="O438" i="16"/>
  <c r="N438" i="16"/>
  <c r="M438" i="16"/>
  <c r="L438" i="16"/>
  <c r="K438" i="16"/>
  <c r="J438" i="16"/>
  <c r="I438" i="16"/>
  <c r="H438" i="16"/>
  <c r="G438" i="16"/>
  <c r="F438" i="16"/>
  <c r="S437" i="16"/>
  <c r="S440" i="16"/>
  <c r="R437" i="16"/>
  <c r="R440" i="16" s="1"/>
  <c r="Q437" i="16"/>
  <c r="P437" i="16"/>
  <c r="O437" i="16"/>
  <c r="N437" i="16"/>
  <c r="M437" i="16"/>
  <c r="L437" i="16"/>
  <c r="L440" i="16" s="1"/>
  <c r="K437" i="16"/>
  <c r="J437" i="16"/>
  <c r="I437" i="16"/>
  <c r="I440" i="16"/>
  <c r="H437" i="16"/>
  <c r="H440" i="16" s="1"/>
  <c r="G437" i="16"/>
  <c r="G440" i="16"/>
  <c r="F437" i="16"/>
  <c r="F440" i="16" s="1"/>
  <c r="S434" i="16"/>
  <c r="R434" i="16"/>
  <c r="Q434" i="16"/>
  <c r="P434" i="16"/>
  <c r="O434" i="16"/>
  <c r="N434" i="16"/>
  <c r="M434" i="16"/>
  <c r="L434" i="16"/>
  <c r="K434" i="16"/>
  <c r="J434" i="16"/>
  <c r="I434" i="16"/>
  <c r="H434" i="16"/>
  <c r="G434" i="16"/>
  <c r="F434" i="16"/>
  <c r="S433" i="16"/>
  <c r="R433" i="16"/>
  <c r="Q433" i="16"/>
  <c r="P433" i="16"/>
  <c r="O433" i="16"/>
  <c r="N433" i="16"/>
  <c r="K433" i="16"/>
  <c r="J433" i="16"/>
  <c r="I433" i="16"/>
  <c r="H433" i="16"/>
  <c r="G433" i="16"/>
  <c r="F433" i="16"/>
  <c r="S431" i="16"/>
  <c r="R431" i="16"/>
  <c r="Q431" i="16"/>
  <c r="P431" i="16"/>
  <c r="O431" i="16"/>
  <c r="N431" i="16"/>
  <c r="M431" i="16"/>
  <c r="L431" i="16"/>
  <c r="K431" i="16"/>
  <c r="J431" i="16"/>
  <c r="I431" i="16"/>
  <c r="H431" i="16"/>
  <c r="G431" i="16"/>
  <c r="F431" i="16"/>
  <c r="S428" i="16"/>
  <c r="R428" i="16"/>
  <c r="Q428" i="16"/>
  <c r="P428" i="16"/>
  <c r="O428" i="16"/>
  <c r="N428" i="16"/>
  <c r="M428" i="16"/>
  <c r="L428" i="16"/>
  <c r="K428" i="16"/>
  <c r="J428" i="16"/>
  <c r="I428" i="16"/>
  <c r="H428" i="16"/>
  <c r="G428" i="16"/>
  <c r="F428" i="16"/>
  <c r="S424" i="16"/>
  <c r="R424" i="16"/>
  <c r="Q424" i="16"/>
  <c r="P424" i="16"/>
  <c r="O424" i="16"/>
  <c r="N424" i="16"/>
  <c r="M424" i="16"/>
  <c r="L424" i="16"/>
  <c r="K424" i="16"/>
  <c r="J424" i="16"/>
  <c r="I424" i="16"/>
  <c r="H424" i="16"/>
  <c r="G424" i="16"/>
  <c r="F424" i="16"/>
  <c r="S421" i="16"/>
  <c r="R421" i="16"/>
  <c r="Q421" i="16"/>
  <c r="P421" i="16"/>
  <c r="O421" i="16"/>
  <c r="N421" i="16"/>
  <c r="M421" i="16"/>
  <c r="L421" i="16"/>
  <c r="K421" i="16"/>
  <c r="J421" i="16"/>
  <c r="I421" i="16"/>
  <c r="H421" i="16"/>
  <c r="G421" i="16"/>
  <c r="F421" i="16"/>
  <c r="S420" i="16"/>
  <c r="R420" i="16"/>
  <c r="Q420" i="16"/>
  <c r="P420" i="16"/>
  <c r="O420" i="16"/>
  <c r="N420" i="16"/>
  <c r="M420" i="16"/>
  <c r="L420" i="16"/>
  <c r="K420" i="16"/>
  <c r="J420" i="16"/>
  <c r="I420" i="16"/>
  <c r="H420" i="16"/>
  <c r="G420" i="16"/>
  <c r="F420" i="16"/>
  <c r="S419" i="16"/>
  <c r="R419" i="16"/>
  <c r="Q419" i="16"/>
  <c r="P419" i="16"/>
  <c r="O419" i="16"/>
  <c r="N419" i="16"/>
  <c r="M419" i="16"/>
  <c r="L419" i="16"/>
  <c r="K419" i="16"/>
  <c r="J419" i="16"/>
  <c r="I419" i="16"/>
  <c r="H419" i="16"/>
  <c r="G419" i="16"/>
  <c r="F419" i="16"/>
  <c r="S416" i="16"/>
  <c r="R416" i="16"/>
  <c r="Q416" i="16"/>
  <c r="P416" i="16"/>
  <c r="O416" i="16"/>
  <c r="N416" i="16"/>
  <c r="M416" i="16"/>
  <c r="L416" i="16"/>
  <c r="K416" i="16"/>
  <c r="J416" i="16"/>
  <c r="I416" i="16"/>
  <c r="H416" i="16"/>
  <c r="G416" i="16"/>
  <c r="F416" i="16"/>
  <c r="S415" i="16"/>
  <c r="R415" i="16"/>
  <c r="Q415" i="16"/>
  <c r="P415" i="16"/>
  <c r="O415" i="16"/>
  <c r="N415" i="16"/>
  <c r="M415" i="16"/>
  <c r="L415" i="16"/>
  <c r="K415" i="16"/>
  <c r="J415" i="16"/>
  <c r="I415" i="16"/>
  <c r="H415" i="16"/>
  <c r="G415" i="16"/>
  <c r="F415" i="16"/>
  <c r="S413" i="16"/>
  <c r="R413" i="16"/>
  <c r="Q413" i="16"/>
  <c r="P413" i="16"/>
  <c r="O413" i="16"/>
  <c r="N413" i="16"/>
  <c r="M413" i="16"/>
  <c r="L413" i="16"/>
  <c r="K413" i="16"/>
  <c r="J413" i="16"/>
  <c r="I413" i="16"/>
  <c r="H413" i="16"/>
  <c r="G413" i="16"/>
  <c r="F413" i="16"/>
  <c r="S412" i="16"/>
  <c r="R412" i="16"/>
  <c r="Q412" i="16"/>
  <c r="P412" i="16"/>
  <c r="O412" i="16"/>
  <c r="N412" i="16"/>
  <c r="M412" i="16"/>
  <c r="L412" i="16"/>
  <c r="K412" i="16"/>
  <c r="J412" i="16"/>
  <c r="I412" i="16"/>
  <c r="H412" i="16"/>
  <c r="G412" i="16"/>
  <c r="F412" i="16"/>
  <c r="S411" i="16"/>
  <c r="R411" i="16"/>
  <c r="Q411" i="16"/>
  <c r="P411" i="16"/>
  <c r="O411" i="16"/>
  <c r="N411" i="16"/>
  <c r="M411" i="16"/>
  <c r="L411" i="16"/>
  <c r="K411" i="16"/>
  <c r="J411" i="16"/>
  <c r="I411" i="16"/>
  <c r="H411" i="16"/>
  <c r="G411" i="16"/>
  <c r="F411" i="16"/>
  <c r="S406" i="16"/>
  <c r="R406" i="16"/>
  <c r="Q406" i="16"/>
  <c r="P406" i="16"/>
  <c r="O406" i="16"/>
  <c r="N406" i="16"/>
  <c r="M406" i="16"/>
  <c r="L406" i="16"/>
  <c r="K406" i="16"/>
  <c r="J406" i="16"/>
  <c r="I406" i="16"/>
  <c r="H406" i="16"/>
  <c r="G406" i="16"/>
  <c r="F406" i="16"/>
  <c r="S405" i="16"/>
  <c r="R405" i="16"/>
  <c r="Q405" i="16"/>
  <c r="P405" i="16"/>
  <c r="O405" i="16"/>
  <c r="N405" i="16"/>
  <c r="M405" i="16"/>
  <c r="L405" i="16"/>
  <c r="K405" i="16"/>
  <c r="J405" i="16"/>
  <c r="I405" i="16"/>
  <c r="H405" i="16"/>
  <c r="G405" i="16"/>
  <c r="F405" i="16"/>
  <c r="S404" i="16"/>
  <c r="R404" i="16"/>
  <c r="Q404" i="16"/>
  <c r="P404" i="16"/>
  <c r="O404" i="16"/>
  <c r="N404" i="16"/>
  <c r="M404" i="16"/>
  <c r="L404" i="16"/>
  <c r="K404" i="16"/>
  <c r="J404" i="16"/>
  <c r="I404" i="16"/>
  <c r="H404" i="16"/>
  <c r="G404" i="16"/>
  <c r="F404" i="16"/>
  <c r="S401" i="16"/>
  <c r="R401" i="16"/>
  <c r="Q401" i="16"/>
  <c r="P401" i="16"/>
  <c r="O401" i="16"/>
  <c r="N401" i="16"/>
  <c r="M401" i="16"/>
  <c r="L401" i="16"/>
  <c r="K401" i="16"/>
  <c r="J401" i="16"/>
  <c r="I401" i="16"/>
  <c r="H401" i="16"/>
  <c r="G401" i="16"/>
  <c r="F401" i="16"/>
  <c r="S398" i="16"/>
  <c r="R398" i="16"/>
  <c r="R397" i="16" s="1"/>
  <c r="R400" i="16" s="1"/>
  <c r="Q398" i="16"/>
  <c r="Q397" i="16" s="1"/>
  <c r="Q400" i="16" s="1"/>
  <c r="P398" i="16"/>
  <c r="P397" i="16" s="1"/>
  <c r="P400" i="16" s="1"/>
  <c r="O398" i="16"/>
  <c r="N398" i="16"/>
  <c r="N397" i="16" s="1"/>
  <c r="N400" i="16" s="1"/>
  <c r="M398" i="16"/>
  <c r="M397" i="16" s="1"/>
  <c r="M400" i="16" s="1"/>
  <c r="L398" i="16"/>
  <c r="K398" i="16"/>
  <c r="J398" i="16"/>
  <c r="I398" i="16"/>
  <c r="H398" i="16"/>
  <c r="G398" i="16"/>
  <c r="F398" i="16"/>
  <c r="S397" i="16"/>
  <c r="S400" i="16"/>
  <c r="O397" i="16"/>
  <c r="O400" i="16"/>
  <c r="E395" i="16"/>
  <c r="S394" i="16"/>
  <c r="R394" i="16"/>
  <c r="Q394" i="16"/>
  <c r="P394" i="16"/>
  <c r="O394" i="16"/>
  <c r="N394" i="16"/>
  <c r="M394" i="16"/>
  <c r="L394" i="16"/>
  <c r="K394" i="16"/>
  <c r="J394" i="16"/>
  <c r="I394" i="16"/>
  <c r="H394" i="16"/>
  <c r="G394" i="16"/>
  <c r="F394" i="16"/>
  <c r="S393" i="16"/>
  <c r="R393" i="16"/>
  <c r="Q393" i="16"/>
  <c r="P393" i="16"/>
  <c r="O393" i="16"/>
  <c r="N393" i="16"/>
  <c r="M393" i="16"/>
  <c r="L393" i="16"/>
  <c r="K393" i="16"/>
  <c r="J393" i="16"/>
  <c r="I393" i="16"/>
  <c r="H393" i="16"/>
  <c r="G393" i="16"/>
  <c r="F393" i="16"/>
  <c r="S392" i="16"/>
  <c r="R392" i="16"/>
  <c r="Q392" i="16"/>
  <c r="P392" i="16"/>
  <c r="O392" i="16"/>
  <c r="N392" i="16"/>
  <c r="M392" i="16"/>
  <c r="L392" i="16"/>
  <c r="K392" i="16"/>
  <c r="J392" i="16"/>
  <c r="I392" i="16"/>
  <c r="H392" i="16"/>
  <c r="G392" i="16"/>
  <c r="F392" i="16"/>
  <c r="S391" i="16"/>
  <c r="R391" i="16"/>
  <c r="Q391" i="16"/>
  <c r="P391" i="16"/>
  <c r="O391" i="16"/>
  <c r="N391" i="16"/>
  <c r="M391" i="16"/>
  <c r="L391" i="16"/>
  <c r="K391" i="16"/>
  <c r="J391" i="16"/>
  <c r="I391" i="16"/>
  <c r="H391" i="16"/>
  <c r="G391" i="16"/>
  <c r="F391" i="16"/>
  <c r="S390" i="16"/>
  <c r="R390" i="16"/>
  <c r="Q390" i="16"/>
  <c r="P390" i="16"/>
  <c r="O390" i="16"/>
  <c r="N390" i="16"/>
  <c r="M390" i="16"/>
  <c r="L390" i="16"/>
  <c r="K390" i="16"/>
  <c r="J390" i="16"/>
  <c r="I390" i="16"/>
  <c r="H390" i="16"/>
  <c r="G390" i="16"/>
  <c r="F390" i="16"/>
  <c r="S389" i="16"/>
  <c r="R389" i="16"/>
  <c r="Q389" i="16"/>
  <c r="P389" i="16"/>
  <c r="O389" i="16"/>
  <c r="N389" i="16"/>
  <c r="M389" i="16"/>
  <c r="L389" i="16"/>
  <c r="K389" i="16"/>
  <c r="J389" i="16"/>
  <c r="I389" i="16"/>
  <c r="H389" i="16"/>
  <c r="G389" i="16"/>
  <c r="F389" i="16"/>
  <c r="S384" i="16"/>
  <c r="R384" i="16"/>
  <c r="Q384" i="16"/>
  <c r="P384" i="16"/>
  <c r="O384" i="16"/>
  <c r="N384" i="16"/>
  <c r="M384" i="16"/>
  <c r="L384" i="16"/>
  <c r="K384" i="16"/>
  <c r="J384" i="16"/>
  <c r="I384" i="16"/>
  <c r="H384" i="16"/>
  <c r="G384" i="16"/>
  <c r="F384" i="16"/>
  <c r="M372" i="16"/>
  <c r="L372" i="16"/>
  <c r="K372" i="16"/>
  <c r="J372" i="16"/>
  <c r="I372" i="16"/>
  <c r="H372" i="16"/>
  <c r="G372" i="16"/>
  <c r="F372" i="16"/>
  <c r="M371" i="16"/>
  <c r="L371" i="16"/>
  <c r="K371" i="16"/>
  <c r="J371" i="16"/>
  <c r="I371" i="16"/>
  <c r="H371" i="16"/>
  <c r="G371" i="16"/>
  <c r="F371" i="16"/>
  <c r="M370" i="16"/>
  <c r="L370" i="16"/>
  <c r="K370" i="16"/>
  <c r="J370" i="16"/>
  <c r="I370" i="16"/>
  <c r="H370" i="16"/>
  <c r="G370" i="16"/>
  <c r="F370" i="16"/>
  <c r="E368" i="16"/>
  <c r="N367" i="16"/>
  <c r="M367" i="16"/>
  <c r="L367" i="16"/>
  <c r="K367" i="16"/>
  <c r="J367" i="16"/>
  <c r="I367" i="16"/>
  <c r="H367" i="16"/>
  <c r="G367" i="16"/>
  <c r="F367" i="16"/>
  <c r="N366" i="16"/>
  <c r="M366" i="16"/>
  <c r="L366" i="16"/>
  <c r="K366" i="16"/>
  <c r="J366" i="16"/>
  <c r="I366" i="16"/>
  <c r="H366" i="16"/>
  <c r="G366" i="16"/>
  <c r="F366" i="16"/>
  <c r="N365" i="16"/>
  <c r="M365" i="16"/>
  <c r="L365" i="16"/>
  <c r="K365" i="16"/>
  <c r="J365" i="16"/>
  <c r="I365" i="16"/>
  <c r="H365" i="16"/>
  <c r="G365" i="16"/>
  <c r="F365" i="16"/>
  <c r="N364" i="16"/>
  <c r="M364" i="16"/>
  <c r="L364" i="16"/>
  <c r="K364" i="16"/>
  <c r="J364" i="16"/>
  <c r="I364" i="16"/>
  <c r="H364" i="16"/>
  <c r="G364" i="16"/>
  <c r="F364" i="16"/>
  <c r="N363" i="16"/>
  <c r="M363" i="16"/>
  <c r="L363" i="16"/>
  <c r="K363" i="16"/>
  <c r="J363" i="16"/>
  <c r="I363" i="16"/>
  <c r="H363" i="16"/>
  <c r="G363" i="16"/>
  <c r="F363" i="16"/>
  <c r="N362" i="16"/>
  <c r="M362" i="16"/>
  <c r="L362" i="16"/>
  <c r="K362" i="16"/>
  <c r="J362" i="16"/>
  <c r="I362" i="16"/>
  <c r="H362" i="16"/>
  <c r="G362" i="16"/>
  <c r="F362" i="16"/>
  <c r="S357" i="16"/>
  <c r="R357" i="16"/>
  <c r="Q357" i="16"/>
  <c r="P357" i="16"/>
  <c r="O357" i="16"/>
  <c r="N357" i="16"/>
  <c r="M357" i="16"/>
  <c r="L357" i="16"/>
  <c r="K357" i="16"/>
  <c r="J357" i="16"/>
  <c r="I357" i="16"/>
  <c r="H357" i="16"/>
  <c r="G357" i="16"/>
  <c r="F357" i="16"/>
  <c r="S356" i="16"/>
  <c r="S358" i="16" s="1"/>
  <c r="R356" i="16"/>
  <c r="R358" i="16" s="1"/>
  <c r="Q356" i="16"/>
  <c r="P356" i="16"/>
  <c r="O356" i="16"/>
  <c r="N356" i="16"/>
  <c r="N358" i="16" s="1"/>
  <c r="M356" i="16"/>
  <c r="L356" i="16"/>
  <c r="K356" i="16"/>
  <c r="K358" i="16" s="1"/>
  <c r="J356" i="16"/>
  <c r="I356" i="16"/>
  <c r="H356" i="16"/>
  <c r="G356" i="16"/>
  <c r="F356" i="16"/>
  <c r="F358" i="16" s="1"/>
  <c r="S355" i="16"/>
  <c r="R355" i="16"/>
  <c r="Q355" i="16"/>
  <c r="P355" i="16"/>
  <c r="O355" i="16"/>
  <c r="O358" i="16"/>
  <c r="N355" i="16"/>
  <c r="M355" i="16"/>
  <c r="L355" i="16"/>
  <c r="K355" i="16"/>
  <c r="J355" i="16"/>
  <c r="J358" i="16"/>
  <c r="I355" i="16"/>
  <c r="H355" i="16"/>
  <c r="G355" i="16"/>
  <c r="G358" i="16"/>
  <c r="F355" i="16"/>
  <c r="S352" i="16"/>
  <c r="R352" i="16"/>
  <c r="Q352" i="16"/>
  <c r="P352" i="16"/>
  <c r="O352" i="16"/>
  <c r="N352" i="16"/>
  <c r="M352" i="16"/>
  <c r="L352" i="16"/>
  <c r="K352" i="16"/>
  <c r="J352" i="16"/>
  <c r="I352" i="16"/>
  <c r="H352" i="16"/>
  <c r="G352" i="16"/>
  <c r="F352" i="16"/>
  <c r="S349" i="16"/>
  <c r="R349" i="16"/>
  <c r="Q349" i="16"/>
  <c r="P349" i="16"/>
  <c r="O349" i="16"/>
  <c r="N349" i="16"/>
  <c r="M349" i="16"/>
  <c r="L349" i="16"/>
  <c r="K349" i="16"/>
  <c r="J349" i="16"/>
  <c r="I349" i="16"/>
  <c r="H349" i="16"/>
  <c r="G349" i="16"/>
  <c r="F349" i="16"/>
  <c r="S346" i="16"/>
  <c r="R346" i="16"/>
  <c r="Q346" i="16"/>
  <c r="P346" i="16"/>
  <c r="O346" i="16"/>
  <c r="N346" i="16"/>
  <c r="M346" i="16"/>
  <c r="L346" i="16"/>
  <c r="K346" i="16"/>
  <c r="J346" i="16"/>
  <c r="I346" i="16"/>
  <c r="H346" i="16"/>
  <c r="G346" i="16"/>
  <c r="F346" i="16"/>
  <c r="F343" i="16"/>
  <c r="S341" i="16"/>
  <c r="R341" i="16"/>
  <c r="Q341" i="16"/>
  <c r="P341" i="16"/>
  <c r="O341" i="16"/>
  <c r="N341" i="16"/>
  <c r="M341" i="16"/>
  <c r="L341" i="16"/>
  <c r="K341" i="16"/>
  <c r="J341" i="16"/>
  <c r="I341" i="16"/>
  <c r="H341" i="16"/>
  <c r="S340" i="16"/>
  <c r="R340" i="16"/>
  <c r="Q340" i="16"/>
  <c r="P340" i="16"/>
  <c r="O340" i="16"/>
  <c r="N340" i="16"/>
  <c r="M340" i="16"/>
  <c r="L340" i="16"/>
  <c r="K340" i="16"/>
  <c r="J340" i="16"/>
  <c r="I340" i="16"/>
  <c r="H340" i="16"/>
  <c r="G340" i="16"/>
  <c r="F340" i="16"/>
  <c r="S338" i="16"/>
  <c r="R338" i="16"/>
  <c r="Q338" i="16"/>
  <c r="P338" i="16"/>
  <c r="O338" i="16"/>
  <c r="N338" i="16"/>
  <c r="M338" i="16"/>
  <c r="L338" i="16"/>
  <c r="K338" i="16"/>
  <c r="J338" i="16"/>
  <c r="I338" i="16"/>
  <c r="H338" i="16"/>
  <c r="G338" i="16"/>
  <c r="F338" i="16"/>
  <c r="S336" i="16"/>
  <c r="R336" i="16"/>
  <c r="Q336" i="16"/>
  <c r="P336" i="16"/>
  <c r="O336" i="16"/>
  <c r="N336" i="16"/>
  <c r="M336" i="16"/>
  <c r="L336" i="16"/>
  <c r="K336" i="16"/>
  <c r="J336" i="16"/>
  <c r="I336" i="16"/>
  <c r="H336" i="16"/>
  <c r="G336" i="16"/>
  <c r="F336" i="16"/>
  <c r="S335" i="16"/>
  <c r="R335" i="16"/>
  <c r="Q335" i="16"/>
  <c r="P335" i="16"/>
  <c r="O335" i="16"/>
  <c r="N335" i="16"/>
  <c r="M335" i="16"/>
  <c r="L335" i="16"/>
  <c r="K335" i="16"/>
  <c r="J335" i="16"/>
  <c r="I335" i="16"/>
  <c r="H335" i="16"/>
  <c r="G335" i="16"/>
  <c r="F335" i="16"/>
  <c r="S334" i="16"/>
  <c r="R334" i="16"/>
  <c r="Q334" i="16"/>
  <c r="P334" i="16"/>
  <c r="O334" i="16"/>
  <c r="N334" i="16"/>
  <c r="M334" i="16"/>
  <c r="L334" i="16"/>
  <c r="K334" i="16"/>
  <c r="J334" i="16"/>
  <c r="I334" i="16"/>
  <c r="H334" i="16"/>
  <c r="G334" i="16"/>
  <c r="F334" i="16"/>
  <c r="S330" i="16"/>
  <c r="R330" i="16"/>
  <c r="Q330" i="16"/>
  <c r="P330" i="16"/>
  <c r="O330" i="16"/>
  <c r="N330" i="16"/>
  <c r="M330" i="16"/>
  <c r="L330" i="16"/>
  <c r="K330" i="16"/>
  <c r="J330" i="16"/>
  <c r="I330" i="16"/>
  <c r="H330" i="16"/>
  <c r="G330" i="16"/>
  <c r="F330" i="16"/>
  <c r="S329" i="16"/>
  <c r="R329" i="16"/>
  <c r="Q329" i="16"/>
  <c r="P329" i="16"/>
  <c r="O329" i="16"/>
  <c r="N329" i="16"/>
  <c r="M329" i="16"/>
  <c r="L329" i="16"/>
  <c r="K329" i="16"/>
  <c r="J329" i="16"/>
  <c r="I329" i="16"/>
  <c r="H329" i="16"/>
  <c r="G329" i="16"/>
  <c r="F329" i="16"/>
  <c r="S328" i="16"/>
  <c r="R328" i="16"/>
  <c r="Q328" i="16"/>
  <c r="P328" i="16"/>
  <c r="O328" i="16"/>
  <c r="N328" i="16"/>
  <c r="M328" i="16"/>
  <c r="L328" i="16"/>
  <c r="K328" i="16"/>
  <c r="J328" i="16"/>
  <c r="I328" i="16"/>
  <c r="H328" i="16"/>
  <c r="G328" i="16"/>
  <c r="F328" i="16"/>
  <c r="S327" i="16"/>
  <c r="R327" i="16"/>
  <c r="Q327" i="16"/>
  <c r="P327" i="16"/>
  <c r="O327" i="16"/>
  <c r="N327" i="16"/>
  <c r="M327" i="16"/>
  <c r="L327" i="16"/>
  <c r="K327" i="16"/>
  <c r="J327" i="16"/>
  <c r="I327" i="16"/>
  <c r="H327" i="16"/>
  <c r="G327" i="16"/>
  <c r="F327" i="16"/>
  <c r="S324" i="16"/>
  <c r="R324" i="16"/>
  <c r="Q324" i="16"/>
  <c r="P324" i="16"/>
  <c r="O324" i="16"/>
  <c r="N324" i="16"/>
  <c r="M324" i="16"/>
  <c r="L324" i="16"/>
  <c r="K324" i="16"/>
  <c r="J324" i="16"/>
  <c r="I324" i="16"/>
  <c r="H324" i="16"/>
  <c r="G324" i="16"/>
  <c r="F324" i="16"/>
  <c r="S323" i="16"/>
  <c r="R323" i="16"/>
  <c r="Q323" i="16"/>
  <c r="P323" i="16"/>
  <c r="O323" i="16"/>
  <c r="N323" i="16"/>
  <c r="M323" i="16"/>
  <c r="L323" i="16"/>
  <c r="K323" i="16"/>
  <c r="J323" i="16"/>
  <c r="I323" i="16"/>
  <c r="H323" i="16"/>
  <c r="G323" i="16"/>
  <c r="F323" i="16"/>
  <c r="S322" i="16"/>
  <c r="R322" i="16"/>
  <c r="Q322" i="16"/>
  <c r="P322" i="16"/>
  <c r="O322" i="16"/>
  <c r="N322" i="16"/>
  <c r="M322" i="16"/>
  <c r="L322" i="16"/>
  <c r="K322" i="16"/>
  <c r="J322" i="16"/>
  <c r="I322" i="16"/>
  <c r="H322" i="16"/>
  <c r="G322" i="16"/>
  <c r="F322" i="16"/>
  <c r="S319" i="16"/>
  <c r="R319" i="16"/>
  <c r="Q319" i="16"/>
  <c r="P319" i="16"/>
  <c r="O319" i="16"/>
  <c r="N319" i="16"/>
  <c r="M319" i="16"/>
  <c r="L319" i="16"/>
  <c r="K319" i="16"/>
  <c r="J319" i="16"/>
  <c r="I319" i="16"/>
  <c r="H319" i="16"/>
  <c r="G319" i="16"/>
  <c r="F319" i="16"/>
  <c r="S318" i="16"/>
  <c r="R318" i="16"/>
  <c r="Q318" i="16"/>
  <c r="P318" i="16"/>
  <c r="O318" i="16"/>
  <c r="N318" i="16"/>
  <c r="M318" i="16"/>
  <c r="L318" i="16"/>
  <c r="K318" i="16"/>
  <c r="J318" i="16"/>
  <c r="I318" i="16"/>
  <c r="H318" i="16"/>
  <c r="G318" i="16"/>
  <c r="F318" i="16"/>
  <c r="S317" i="16"/>
  <c r="R317" i="16"/>
  <c r="Q317" i="16"/>
  <c r="P317" i="16"/>
  <c r="O317" i="16"/>
  <c r="N317" i="16"/>
  <c r="M317" i="16"/>
  <c r="L317" i="16"/>
  <c r="K317" i="16"/>
  <c r="J317" i="16"/>
  <c r="I317" i="16"/>
  <c r="H317" i="16"/>
  <c r="G317" i="16"/>
  <c r="F317" i="16"/>
  <c r="S316" i="16"/>
  <c r="R316" i="16"/>
  <c r="Q316" i="16"/>
  <c r="P316" i="16"/>
  <c r="O316" i="16"/>
  <c r="N316" i="16"/>
  <c r="M316" i="16"/>
  <c r="L316" i="16"/>
  <c r="K316" i="16"/>
  <c r="J316" i="16"/>
  <c r="I316" i="16"/>
  <c r="H316" i="16"/>
  <c r="G316" i="16"/>
  <c r="F316" i="16"/>
  <c r="S315" i="16"/>
  <c r="R315" i="16"/>
  <c r="Q315" i="16"/>
  <c r="P315" i="16"/>
  <c r="O315" i="16"/>
  <c r="N315" i="16"/>
  <c r="M315" i="16"/>
  <c r="L315" i="16"/>
  <c r="K315" i="16"/>
  <c r="J315" i="16"/>
  <c r="I315" i="16"/>
  <c r="H315" i="16"/>
  <c r="G315" i="16"/>
  <c r="F315" i="16"/>
  <c r="S314" i="16"/>
  <c r="R314" i="16"/>
  <c r="Q314" i="16"/>
  <c r="P314" i="16"/>
  <c r="O314" i="16"/>
  <c r="N314" i="16"/>
  <c r="M314" i="16"/>
  <c r="L314" i="16"/>
  <c r="K314" i="16"/>
  <c r="J314" i="16"/>
  <c r="I314" i="16"/>
  <c r="H314" i="16"/>
  <c r="G314" i="16"/>
  <c r="F314" i="16"/>
  <c r="S311" i="16"/>
  <c r="R311" i="16"/>
  <c r="Q311" i="16"/>
  <c r="P311" i="16"/>
  <c r="O311" i="16"/>
  <c r="N311" i="16"/>
  <c r="M311" i="16"/>
  <c r="L311" i="16"/>
  <c r="K311" i="16"/>
  <c r="J311" i="16"/>
  <c r="I311" i="16"/>
  <c r="H311" i="16"/>
  <c r="G311" i="16"/>
  <c r="F311" i="16"/>
  <c r="S310" i="16"/>
  <c r="R310" i="16"/>
  <c r="Q310" i="16"/>
  <c r="P310" i="16"/>
  <c r="O310" i="16"/>
  <c r="N310" i="16"/>
  <c r="M310" i="16"/>
  <c r="L310" i="16"/>
  <c r="K310" i="16"/>
  <c r="J310" i="16"/>
  <c r="I310" i="16"/>
  <c r="H310" i="16"/>
  <c r="G310" i="16"/>
  <c r="F310" i="16"/>
  <c r="S308" i="16"/>
  <c r="R308" i="16"/>
  <c r="Q308" i="16"/>
  <c r="P308" i="16"/>
  <c r="O308" i="16"/>
  <c r="N308" i="16"/>
  <c r="M308" i="16"/>
  <c r="L308" i="16"/>
  <c r="K308" i="16"/>
  <c r="J308" i="16"/>
  <c r="I308" i="16"/>
  <c r="H308" i="16"/>
  <c r="G308" i="16"/>
  <c r="F308" i="16"/>
  <c r="S305" i="16"/>
  <c r="S306" i="16" s="1"/>
  <c r="R305" i="16"/>
  <c r="R306" i="16"/>
  <c r="Q305" i="16"/>
  <c r="Q306" i="16" s="1"/>
  <c r="P305" i="16"/>
  <c r="P306" i="16"/>
  <c r="O305" i="16"/>
  <c r="O306" i="16" s="1"/>
  <c r="N305" i="16"/>
  <c r="N306" i="16"/>
  <c r="K305" i="16"/>
  <c r="K306" i="16" s="1"/>
  <c r="J305" i="16"/>
  <c r="J306" i="16"/>
  <c r="I305" i="16"/>
  <c r="I306" i="16" s="1"/>
  <c r="H305" i="16"/>
  <c r="H306" i="16"/>
  <c r="G305" i="16"/>
  <c r="G306" i="16" s="1"/>
  <c r="F305" i="16"/>
  <c r="F306" i="16"/>
  <c r="S302" i="16"/>
  <c r="R302" i="16"/>
  <c r="Q302" i="16"/>
  <c r="P302" i="16"/>
  <c r="O302" i="16"/>
  <c r="N302" i="16"/>
  <c r="M302" i="16"/>
  <c r="L302" i="16"/>
  <c r="K302" i="16"/>
  <c r="J302" i="16"/>
  <c r="I302" i="16"/>
  <c r="H302" i="16"/>
  <c r="G302" i="16"/>
  <c r="F302" i="16"/>
  <c r="S301" i="16"/>
  <c r="R301" i="16"/>
  <c r="Q301" i="16"/>
  <c r="P301" i="16"/>
  <c r="O301" i="16"/>
  <c r="N301" i="16"/>
  <c r="M301" i="16"/>
  <c r="L301" i="16"/>
  <c r="K301" i="16"/>
  <c r="J301" i="16"/>
  <c r="I301" i="16"/>
  <c r="H301" i="16"/>
  <c r="G301" i="16"/>
  <c r="F301" i="16"/>
  <c r="S299" i="16"/>
  <c r="R299" i="16"/>
  <c r="Q299" i="16"/>
  <c r="P299" i="16"/>
  <c r="O299" i="16"/>
  <c r="N299" i="16"/>
  <c r="M299" i="16"/>
  <c r="L299" i="16"/>
  <c r="K299" i="16"/>
  <c r="J299" i="16"/>
  <c r="I299" i="16"/>
  <c r="H299" i="16"/>
  <c r="G299" i="16"/>
  <c r="F299" i="16"/>
  <c r="S298" i="16"/>
  <c r="R298" i="16"/>
  <c r="Q298" i="16"/>
  <c r="P298" i="16"/>
  <c r="O298" i="16"/>
  <c r="N298" i="16"/>
  <c r="M298" i="16"/>
  <c r="L298" i="16"/>
  <c r="K298" i="16"/>
  <c r="J298" i="16"/>
  <c r="I298" i="16"/>
  <c r="H298" i="16"/>
  <c r="G298" i="16"/>
  <c r="F298" i="16"/>
  <c r="S296" i="16"/>
  <c r="R296" i="16"/>
  <c r="Q296" i="16"/>
  <c r="P296" i="16"/>
  <c r="O296" i="16"/>
  <c r="N296" i="16"/>
  <c r="M296" i="16"/>
  <c r="L296" i="16"/>
  <c r="K296" i="16"/>
  <c r="J296" i="16"/>
  <c r="I296" i="16"/>
  <c r="H296" i="16"/>
  <c r="G296" i="16"/>
  <c r="F296" i="16"/>
  <c r="S295" i="16"/>
  <c r="R295" i="16"/>
  <c r="Q295" i="16"/>
  <c r="P295" i="16"/>
  <c r="O295" i="16"/>
  <c r="N295" i="16"/>
  <c r="M295" i="16"/>
  <c r="L295" i="16"/>
  <c r="K295" i="16"/>
  <c r="J295" i="16"/>
  <c r="I295" i="16"/>
  <c r="H295" i="16"/>
  <c r="G295" i="16"/>
  <c r="F295" i="16"/>
  <c r="S293" i="16"/>
  <c r="R293" i="16"/>
  <c r="Q293" i="16"/>
  <c r="P293" i="16"/>
  <c r="O293" i="16"/>
  <c r="N293" i="16"/>
  <c r="M293" i="16"/>
  <c r="L293" i="16"/>
  <c r="K293" i="16"/>
  <c r="J293" i="16"/>
  <c r="I293" i="16"/>
  <c r="H293" i="16"/>
  <c r="G293" i="16"/>
  <c r="F293" i="16"/>
  <c r="S292" i="16"/>
  <c r="R292" i="16"/>
  <c r="Q292" i="16"/>
  <c r="P292" i="16"/>
  <c r="O292" i="16"/>
  <c r="N292" i="16"/>
  <c r="M292" i="16"/>
  <c r="L292" i="16"/>
  <c r="K292" i="16"/>
  <c r="J292" i="16"/>
  <c r="I292" i="16"/>
  <c r="H292" i="16"/>
  <c r="G292" i="16"/>
  <c r="F292" i="16"/>
  <c r="S291" i="16"/>
  <c r="R291" i="16"/>
  <c r="Q291" i="16"/>
  <c r="P291" i="16"/>
  <c r="O291" i="16"/>
  <c r="N291" i="16"/>
  <c r="M291" i="16"/>
  <c r="L291" i="16"/>
  <c r="K291" i="16"/>
  <c r="J291" i="16"/>
  <c r="I291" i="16"/>
  <c r="H291" i="16"/>
  <c r="G291" i="16"/>
  <c r="F291" i="16"/>
  <c r="S289" i="16"/>
  <c r="R289" i="16"/>
  <c r="Q289" i="16"/>
  <c r="P289" i="16"/>
  <c r="O289" i="16"/>
  <c r="N289" i="16"/>
  <c r="M289" i="16"/>
  <c r="L289" i="16"/>
  <c r="K289" i="16"/>
  <c r="J289" i="16"/>
  <c r="I289" i="16"/>
  <c r="H289" i="16"/>
  <c r="G289" i="16"/>
  <c r="F289" i="16"/>
  <c r="S281" i="16"/>
  <c r="R281" i="16"/>
  <c r="Q281" i="16"/>
  <c r="P281" i="16"/>
  <c r="O281" i="16"/>
  <c r="N281" i="16"/>
  <c r="M281" i="16"/>
  <c r="L281" i="16"/>
  <c r="K281" i="16"/>
  <c r="J281" i="16"/>
  <c r="I281" i="16"/>
  <c r="H281" i="16"/>
  <c r="G281" i="16"/>
  <c r="F281" i="16"/>
  <c r="S280" i="16"/>
  <c r="R280" i="16"/>
  <c r="R282" i="16" s="1"/>
  <c r="Q280" i="16"/>
  <c r="P280" i="16"/>
  <c r="O280" i="16"/>
  <c r="N280" i="16"/>
  <c r="M280" i="16"/>
  <c r="M282" i="16" s="1"/>
  <c r="L280" i="16"/>
  <c r="K280" i="16"/>
  <c r="J280" i="16"/>
  <c r="J282" i="16" s="1"/>
  <c r="I280" i="16"/>
  <c r="H280" i="16"/>
  <c r="G280" i="16"/>
  <c r="F280" i="16"/>
  <c r="S279" i="16"/>
  <c r="S282" i="16" s="1"/>
  <c r="R279" i="16"/>
  <c r="Q279" i="16"/>
  <c r="Q282" i="16"/>
  <c r="P279" i="16"/>
  <c r="O279" i="16"/>
  <c r="N279" i="16"/>
  <c r="N282" i="16"/>
  <c r="M279" i="16"/>
  <c r="L279" i="16"/>
  <c r="K279" i="16"/>
  <c r="J279" i="16"/>
  <c r="I279" i="16"/>
  <c r="I282" i="16"/>
  <c r="H279" i="16"/>
  <c r="G279" i="16"/>
  <c r="F279" i="16"/>
  <c r="F282" i="16"/>
  <c r="S276" i="16"/>
  <c r="R276" i="16"/>
  <c r="Q276" i="16"/>
  <c r="P276" i="16"/>
  <c r="O276" i="16"/>
  <c r="N276" i="16"/>
  <c r="M276" i="16"/>
  <c r="L276" i="16"/>
  <c r="K276" i="16"/>
  <c r="J276" i="16"/>
  <c r="I276" i="16"/>
  <c r="H276" i="16"/>
  <c r="G276" i="16"/>
  <c r="F276" i="16"/>
  <c r="S275" i="16"/>
  <c r="R275" i="16"/>
  <c r="Q275" i="16"/>
  <c r="P275" i="16"/>
  <c r="O275" i="16"/>
  <c r="N275" i="16"/>
  <c r="M275" i="16"/>
  <c r="L275" i="16"/>
  <c r="K275" i="16"/>
  <c r="J275" i="16"/>
  <c r="I275" i="16"/>
  <c r="H275" i="16"/>
  <c r="G275" i="16"/>
  <c r="F275" i="16"/>
  <c r="S273" i="16"/>
  <c r="R273" i="16"/>
  <c r="Q273" i="16"/>
  <c r="P273" i="16"/>
  <c r="O273" i="16"/>
  <c r="N273" i="16"/>
  <c r="M273" i="16"/>
  <c r="L273" i="16"/>
  <c r="K273" i="16"/>
  <c r="J273" i="16"/>
  <c r="I273" i="16"/>
  <c r="H273" i="16"/>
  <c r="G273" i="16"/>
  <c r="F273" i="16"/>
  <c r="S272" i="16"/>
  <c r="R272" i="16"/>
  <c r="Q272" i="16"/>
  <c r="P272" i="16"/>
  <c r="O272" i="16"/>
  <c r="N272" i="16"/>
  <c r="M272" i="16"/>
  <c r="L272" i="16"/>
  <c r="K272" i="16"/>
  <c r="J272" i="16"/>
  <c r="I272" i="16"/>
  <c r="H272" i="16"/>
  <c r="G272" i="16"/>
  <c r="F272" i="16"/>
  <c r="S270" i="16"/>
  <c r="R270" i="16"/>
  <c r="Q270" i="16"/>
  <c r="P270" i="16"/>
  <c r="O270" i="16"/>
  <c r="N270" i="16"/>
  <c r="M270" i="16"/>
  <c r="L270" i="16"/>
  <c r="K270" i="16"/>
  <c r="J270" i="16"/>
  <c r="I270" i="16"/>
  <c r="H270" i="16"/>
  <c r="G270" i="16"/>
  <c r="F270" i="16"/>
  <c r="S260" i="16"/>
  <c r="R260" i="16"/>
  <c r="Q260" i="16"/>
  <c r="P260" i="16"/>
  <c r="O260" i="16"/>
  <c r="N260" i="16"/>
  <c r="M260" i="16"/>
  <c r="L260" i="16"/>
  <c r="K260" i="16"/>
  <c r="J260" i="16"/>
  <c r="I260" i="16"/>
  <c r="H260" i="16"/>
  <c r="G260" i="16"/>
  <c r="F260" i="16"/>
  <c r="S259" i="16"/>
  <c r="R259" i="16"/>
  <c r="Q259" i="16"/>
  <c r="P259" i="16"/>
  <c r="O259" i="16"/>
  <c r="N259" i="16"/>
  <c r="M259" i="16"/>
  <c r="L259" i="16"/>
  <c r="K259" i="16"/>
  <c r="J259" i="16"/>
  <c r="I259" i="16"/>
  <c r="H259" i="16"/>
  <c r="G259" i="16"/>
  <c r="F259" i="16"/>
  <c r="S250" i="16"/>
  <c r="S251" i="16" s="1"/>
  <c r="R250" i="16"/>
  <c r="Q250" i="16"/>
  <c r="P250" i="16"/>
  <c r="O250" i="16"/>
  <c r="N250" i="16"/>
  <c r="N251" i="16" s="1"/>
  <c r="M250" i="16"/>
  <c r="L250" i="16"/>
  <c r="K250" i="16"/>
  <c r="K251" i="16" s="1"/>
  <c r="J250" i="16"/>
  <c r="I250" i="16"/>
  <c r="H250" i="16"/>
  <c r="G250" i="16"/>
  <c r="F250" i="16"/>
  <c r="F251" i="16" s="1"/>
  <c r="S249" i="16"/>
  <c r="R249" i="16"/>
  <c r="Q249" i="16"/>
  <c r="Q251" i="16" s="1"/>
  <c r="P249" i="16"/>
  <c r="P251" i="16"/>
  <c r="O249" i="16"/>
  <c r="O251" i="16"/>
  <c r="N249" i="16"/>
  <c r="M249" i="16"/>
  <c r="L249" i="16"/>
  <c r="L251" i="16"/>
  <c r="K249" i="16"/>
  <c r="J249" i="16"/>
  <c r="I249" i="16"/>
  <c r="H249" i="16"/>
  <c r="H251" i="16"/>
  <c r="G249" i="16"/>
  <c r="G251" i="16"/>
  <c r="F249" i="16"/>
  <c r="S246" i="16"/>
  <c r="R246" i="16"/>
  <c r="Q246" i="16"/>
  <c r="P246" i="16"/>
  <c r="O246" i="16"/>
  <c r="N246" i="16"/>
  <c r="M246" i="16"/>
  <c r="L246" i="16"/>
  <c r="K246" i="16"/>
  <c r="J246" i="16"/>
  <c r="I246" i="16"/>
  <c r="H246" i="16"/>
  <c r="G246" i="16"/>
  <c r="F246" i="16"/>
  <c r="S245" i="16"/>
  <c r="R245" i="16"/>
  <c r="Q245" i="16"/>
  <c r="P245" i="16"/>
  <c r="O245" i="16"/>
  <c r="N245" i="16"/>
  <c r="M245" i="16"/>
  <c r="L245" i="16"/>
  <c r="K245" i="16"/>
  <c r="J245" i="16"/>
  <c r="I245" i="16"/>
  <c r="H245" i="16"/>
  <c r="G245" i="16"/>
  <c r="F245" i="16"/>
  <c r="S243" i="16"/>
  <c r="R243" i="16"/>
  <c r="Q243" i="16"/>
  <c r="P243" i="16"/>
  <c r="O243" i="16"/>
  <c r="N243" i="16"/>
  <c r="M243" i="16"/>
  <c r="L243" i="16"/>
  <c r="K243" i="16"/>
  <c r="J243" i="16"/>
  <c r="I243" i="16"/>
  <c r="H243" i="16"/>
  <c r="G243" i="16"/>
  <c r="F243" i="16"/>
  <c r="S241" i="16"/>
  <c r="R241" i="16"/>
  <c r="Q241" i="16"/>
  <c r="P241" i="16"/>
  <c r="O241" i="16"/>
  <c r="N241" i="16"/>
  <c r="M241" i="16"/>
  <c r="L241" i="16"/>
  <c r="K241" i="16"/>
  <c r="J241" i="16"/>
  <c r="I241" i="16"/>
  <c r="H241" i="16"/>
  <c r="G241" i="16"/>
  <c r="F241" i="16"/>
  <c r="S238" i="16"/>
  <c r="R238" i="16"/>
  <c r="Q238" i="16"/>
  <c r="P238" i="16"/>
  <c r="O238" i="16"/>
  <c r="N238" i="16"/>
  <c r="M238" i="16"/>
  <c r="L238" i="16"/>
  <c r="K238" i="16"/>
  <c r="J238" i="16"/>
  <c r="I238" i="16"/>
  <c r="H238" i="16"/>
  <c r="G238" i="16"/>
  <c r="F238" i="16"/>
  <c r="S237" i="16"/>
  <c r="R237" i="16"/>
  <c r="Q237" i="16"/>
  <c r="P237" i="16"/>
  <c r="O237" i="16"/>
  <c r="N237" i="16"/>
  <c r="M237" i="16"/>
  <c r="L237" i="16"/>
  <c r="K237" i="16"/>
  <c r="J237" i="16"/>
  <c r="I237" i="16"/>
  <c r="H237" i="16"/>
  <c r="G237" i="16"/>
  <c r="F237" i="16"/>
  <c r="S234" i="16"/>
  <c r="R234" i="16"/>
  <c r="Q234" i="16"/>
  <c r="Q235" i="16" s="1"/>
  <c r="P234" i="16"/>
  <c r="O234" i="16"/>
  <c r="N234" i="16"/>
  <c r="N235" i="16" s="1"/>
  <c r="M234" i="16"/>
  <c r="M235" i="16" s="1"/>
  <c r="L234" i="16"/>
  <c r="K234" i="16"/>
  <c r="J234" i="16"/>
  <c r="I234" i="16"/>
  <c r="I235" i="16" s="1"/>
  <c r="H234" i="16"/>
  <c r="G234" i="16"/>
  <c r="F234" i="16"/>
  <c r="F235" i="16" s="1"/>
  <c r="S233" i="16"/>
  <c r="R233" i="16"/>
  <c r="Q233" i="16"/>
  <c r="P233" i="16"/>
  <c r="O233" i="16"/>
  <c r="N233" i="16"/>
  <c r="M233" i="16"/>
  <c r="L233" i="16"/>
  <c r="K233" i="16"/>
  <c r="K235" i="16" s="1"/>
  <c r="J233" i="16"/>
  <c r="I233" i="16"/>
  <c r="H233" i="16"/>
  <c r="G233" i="16"/>
  <c r="G235" i="16" s="1"/>
  <c r="F233" i="16"/>
  <c r="S232" i="16"/>
  <c r="R232" i="16"/>
  <c r="R235" i="16"/>
  <c r="Q232" i="16"/>
  <c r="P232" i="16"/>
  <c r="O232" i="16"/>
  <c r="N232" i="16"/>
  <c r="M232" i="16"/>
  <c r="L232" i="16"/>
  <c r="K232" i="16"/>
  <c r="J232" i="16"/>
  <c r="J235" i="16"/>
  <c r="I232" i="16"/>
  <c r="H232" i="16"/>
  <c r="G232" i="16"/>
  <c r="F232" i="16"/>
  <c r="S226" i="16"/>
  <c r="R226" i="16"/>
  <c r="Q226" i="16"/>
  <c r="P226" i="16"/>
  <c r="O226" i="16"/>
  <c r="N226" i="16"/>
  <c r="M226" i="16"/>
  <c r="L226" i="16"/>
  <c r="K226" i="16"/>
  <c r="J226" i="16"/>
  <c r="I226" i="16"/>
  <c r="H226" i="16"/>
  <c r="G226" i="16"/>
  <c r="F226" i="16"/>
  <c r="S225" i="16"/>
  <c r="R225" i="16"/>
  <c r="Q225" i="16"/>
  <c r="P225" i="16"/>
  <c r="O225" i="16"/>
  <c r="N225" i="16"/>
  <c r="M225" i="16"/>
  <c r="L225" i="16"/>
  <c r="K225" i="16"/>
  <c r="J225" i="16"/>
  <c r="I225" i="16"/>
  <c r="H225" i="16"/>
  <c r="G225" i="16"/>
  <c r="F225" i="16"/>
  <c r="S224" i="16"/>
  <c r="R224" i="16"/>
  <c r="Q224" i="16"/>
  <c r="P224" i="16"/>
  <c r="O224" i="16"/>
  <c r="N224" i="16"/>
  <c r="M224" i="16"/>
  <c r="L224" i="16"/>
  <c r="K224" i="16"/>
  <c r="J224" i="16"/>
  <c r="I224" i="16"/>
  <c r="H224" i="16"/>
  <c r="G224" i="16"/>
  <c r="F224" i="16"/>
  <c r="N223" i="16"/>
  <c r="M223" i="16"/>
  <c r="L223" i="16"/>
  <c r="K223" i="16"/>
  <c r="J223" i="16"/>
  <c r="I223" i="16"/>
  <c r="H223" i="16"/>
  <c r="G223" i="16"/>
  <c r="F223" i="16"/>
  <c r="S219" i="16"/>
  <c r="R219" i="16"/>
  <c r="Q219" i="16"/>
  <c r="P219" i="16"/>
  <c r="O219" i="16"/>
  <c r="N219" i="16"/>
  <c r="M219" i="16"/>
  <c r="L219" i="16"/>
  <c r="K219" i="16"/>
  <c r="J219" i="16"/>
  <c r="I219" i="16"/>
  <c r="H219" i="16"/>
  <c r="G219" i="16"/>
  <c r="F219" i="16"/>
  <c r="S218" i="16"/>
  <c r="R218" i="16"/>
  <c r="Q218" i="16"/>
  <c r="P218" i="16"/>
  <c r="O218" i="16"/>
  <c r="N218" i="16"/>
  <c r="M218" i="16"/>
  <c r="L218" i="16"/>
  <c r="K218" i="16"/>
  <c r="J218" i="16"/>
  <c r="I218" i="16"/>
  <c r="H218" i="16"/>
  <c r="G218" i="16"/>
  <c r="F218" i="16"/>
  <c r="S217" i="16"/>
  <c r="R217" i="16"/>
  <c r="Q217" i="16"/>
  <c r="P217" i="16"/>
  <c r="O217" i="16"/>
  <c r="N217" i="16"/>
  <c r="M217" i="16"/>
  <c r="L217" i="16"/>
  <c r="K217" i="16"/>
  <c r="J217" i="16"/>
  <c r="I217" i="16"/>
  <c r="H217" i="16"/>
  <c r="G217" i="16"/>
  <c r="F217" i="16"/>
  <c r="S216" i="16"/>
  <c r="R216" i="16"/>
  <c r="Q216" i="16"/>
  <c r="P216" i="16"/>
  <c r="O216" i="16"/>
  <c r="N216" i="16"/>
  <c r="M216" i="16"/>
  <c r="L216" i="16"/>
  <c r="K216" i="16"/>
  <c r="J216" i="16"/>
  <c r="I216" i="16"/>
  <c r="H216" i="16"/>
  <c r="G216" i="16"/>
  <c r="F216" i="16"/>
  <c r="S212" i="16"/>
  <c r="R212" i="16"/>
  <c r="Q212" i="16"/>
  <c r="P212" i="16"/>
  <c r="O212" i="16"/>
  <c r="N212" i="16"/>
  <c r="M212" i="16"/>
  <c r="L212" i="16"/>
  <c r="K212" i="16"/>
  <c r="J212" i="16"/>
  <c r="I212" i="16"/>
  <c r="H212" i="16"/>
  <c r="G212" i="16"/>
  <c r="F212" i="16"/>
  <c r="S211" i="16"/>
  <c r="R211" i="16"/>
  <c r="Q211" i="16"/>
  <c r="P211" i="16"/>
  <c r="O211" i="16"/>
  <c r="N211" i="16"/>
  <c r="M211" i="16"/>
  <c r="L211" i="16"/>
  <c r="K211" i="16"/>
  <c r="J211" i="16"/>
  <c r="I211" i="16"/>
  <c r="H211" i="16"/>
  <c r="G211" i="16"/>
  <c r="F211" i="16"/>
  <c r="S210" i="16"/>
  <c r="R210" i="16"/>
  <c r="Q210" i="16"/>
  <c r="P210" i="16"/>
  <c r="O210" i="16"/>
  <c r="N210" i="16"/>
  <c r="M210" i="16"/>
  <c r="L210" i="16"/>
  <c r="K210" i="16"/>
  <c r="J210" i="16"/>
  <c r="I210" i="16"/>
  <c r="H210" i="16"/>
  <c r="G210" i="16"/>
  <c r="F210" i="16"/>
  <c r="S209" i="16"/>
  <c r="R209" i="16"/>
  <c r="Q209" i="16"/>
  <c r="P209" i="16"/>
  <c r="O209" i="16"/>
  <c r="N209" i="16"/>
  <c r="M209" i="16"/>
  <c r="L209" i="16"/>
  <c r="K209" i="16"/>
  <c r="J209" i="16"/>
  <c r="I209" i="16"/>
  <c r="H209" i="16"/>
  <c r="G209" i="16"/>
  <c r="F209" i="16"/>
  <c r="S205" i="16"/>
  <c r="R205" i="16"/>
  <c r="Q205" i="16"/>
  <c r="P205" i="16"/>
  <c r="O205" i="16"/>
  <c r="N205" i="16"/>
  <c r="M205" i="16"/>
  <c r="L205" i="16"/>
  <c r="K205" i="16"/>
  <c r="J205" i="16"/>
  <c r="I205" i="16"/>
  <c r="H205" i="16"/>
  <c r="G205" i="16"/>
  <c r="F205" i="16"/>
  <c r="S204" i="16"/>
  <c r="R204" i="16"/>
  <c r="Q204" i="16"/>
  <c r="P204" i="16"/>
  <c r="O204" i="16"/>
  <c r="N204" i="16"/>
  <c r="M204" i="16"/>
  <c r="L204" i="16"/>
  <c r="K204" i="16"/>
  <c r="J204" i="16"/>
  <c r="I204" i="16"/>
  <c r="H204" i="16"/>
  <c r="G204" i="16"/>
  <c r="F204" i="16"/>
  <c r="S203" i="16"/>
  <c r="R203" i="16"/>
  <c r="Q203" i="16"/>
  <c r="P203" i="16"/>
  <c r="O203" i="16"/>
  <c r="N203" i="16"/>
  <c r="M203" i="16"/>
  <c r="L203" i="16"/>
  <c r="K203" i="16"/>
  <c r="J203" i="16"/>
  <c r="I203" i="16"/>
  <c r="H203" i="16"/>
  <c r="G203" i="16"/>
  <c r="F203" i="16"/>
  <c r="S202" i="16"/>
  <c r="R202" i="16"/>
  <c r="Q202" i="16"/>
  <c r="P202" i="16"/>
  <c r="O202" i="16"/>
  <c r="N202" i="16"/>
  <c r="M202" i="16"/>
  <c r="L202" i="16"/>
  <c r="K202" i="16"/>
  <c r="J202" i="16"/>
  <c r="I202" i="16"/>
  <c r="H202" i="16"/>
  <c r="G202" i="16"/>
  <c r="F202" i="16"/>
  <c r="S192" i="16"/>
  <c r="R192" i="16"/>
  <c r="Q192" i="16"/>
  <c r="P192" i="16"/>
  <c r="O192" i="16"/>
  <c r="N192" i="16"/>
  <c r="M192" i="16"/>
  <c r="L192" i="16"/>
  <c r="K192" i="16"/>
  <c r="J192" i="16"/>
  <c r="I192" i="16"/>
  <c r="H192" i="16"/>
  <c r="G192" i="16"/>
  <c r="F192" i="16"/>
  <c r="S188" i="16"/>
  <c r="R188" i="16"/>
  <c r="Q188" i="16"/>
  <c r="P188" i="16"/>
  <c r="O188" i="16"/>
  <c r="N188" i="16"/>
  <c r="M188" i="16"/>
  <c r="L188" i="16"/>
  <c r="K188" i="16"/>
  <c r="J188" i="16"/>
  <c r="I188" i="16"/>
  <c r="H188" i="16"/>
  <c r="G188" i="16"/>
  <c r="F188" i="16"/>
  <c r="S186" i="16"/>
  <c r="R186" i="16"/>
  <c r="Q186" i="16"/>
  <c r="P186" i="16"/>
  <c r="O186" i="16"/>
  <c r="N186" i="16"/>
  <c r="M186" i="16"/>
  <c r="L186" i="16"/>
  <c r="K186" i="16"/>
  <c r="J186" i="16"/>
  <c r="I186" i="16"/>
  <c r="H186" i="16"/>
  <c r="G186" i="16"/>
  <c r="F186" i="16"/>
  <c r="S185" i="16"/>
  <c r="R185" i="16"/>
  <c r="Q185" i="16"/>
  <c r="P185" i="16"/>
  <c r="O185" i="16"/>
  <c r="N185" i="16"/>
  <c r="M185" i="16"/>
  <c r="L185" i="16"/>
  <c r="K185" i="16"/>
  <c r="J185" i="16"/>
  <c r="I185" i="16"/>
  <c r="H185" i="16"/>
  <c r="G185" i="16"/>
  <c r="F185" i="16"/>
  <c r="S183" i="16"/>
  <c r="R183" i="16"/>
  <c r="Q183" i="16"/>
  <c r="P183" i="16"/>
  <c r="O183" i="16"/>
  <c r="N183" i="16"/>
  <c r="L183" i="16"/>
  <c r="K183" i="16"/>
  <c r="J183" i="16"/>
  <c r="I183" i="16"/>
  <c r="H183" i="16"/>
  <c r="G183" i="16"/>
  <c r="F183" i="16"/>
  <c r="S182" i="16"/>
  <c r="R182" i="16"/>
  <c r="Q182" i="16"/>
  <c r="P182" i="16"/>
  <c r="O182" i="16"/>
  <c r="N182" i="16"/>
  <c r="M182" i="16"/>
  <c r="L182" i="16"/>
  <c r="K182" i="16"/>
  <c r="J182" i="16"/>
  <c r="I182" i="16"/>
  <c r="H182" i="16"/>
  <c r="G182" i="16"/>
  <c r="F182" i="16"/>
  <c r="S181" i="16"/>
  <c r="R181" i="16"/>
  <c r="Q181" i="16"/>
  <c r="P181" i="16"/>
  <c r="O181" i="16"/>
  <c r="N181" i="16"/>
  <c r="M181" i="16"/>
  <c r="L181" i="16"/>
  <c r="K181" i="16"/>
  <c r="J181" i="16"/>
  <c r="I181" i="16"/>
  <c r="H181" i="16"/>
  <c r="G181" i="16"/>
  <c r="F181" i="16"/>
  <c r="S180" i="16"/>
  <c r="R180" i="16"/>
  <c r="Q180" i="16"/>
  <c r="P180" i="16"/>
  <c r="O180" i="16"/>
  <c r="N180" i="16"/>
  <c r="M180" i="16"/>
  <c r="L180" i="16"/>
  <c r="K180" i="16"/>
  <c r="J180" i="16"/>
  <c r="I180" i="16"/>
  <c r="H180" i="16"/>
  <c r="G180" i="16"/>
  <c r="F180" i="16"/>
  <c r="S179" i="16"/>
  <c r="R179" i="16"/>
  <c r="Q179" i="16"/>
  <c r="P179" i="16"/>
  <c r="O179" i="16"/>
  <c r="N179" i="16"/>
  <c r="M179" i="16"/>
  <c r="L179" i="16"/>
  <c r="K179" i="16"/>
  <c r="J179" i="16"/>
  <c r="I179" i="16"/>
  <c r="H179" i="16"/>
  <c r="G179" i="16"/>
  <c r="F179" i="16"/>
  <c r="S178" i="16"/>
  <c r="R178" i="16"/>
  <c r="Q178" i="16"/>
  <c r="P178" i="16"/>
  <c r="O178" i="16"/>
  <c r="N178" i="16"/>
  <c r="M178" i="16"/>
  <c r="L178" i="16"/>
  <c r="K178" i="16"/>
  <c r="J178" i="16"/>
  <c r="I178" i="16"/>
  <c r="H178" i="16"/>
  <c r="G178" i="16"/>
  <c r="F178" i="16"/>
  <c r="S177" i="16"/>
  <c r="R177" i="16"/>
  <c r="Q177" i="16"/>
  <c r="P177" i="16"/>
  <c r="O177" i="16"/>
  <c r="N177" i="16"/>
  <c r="M177" i="16"/>
  <c r="L177" i="16"/>
  <c r="K177" i="16"/>
  <c r="J177" i="16"/>
  <c r="I177" i="16"/>
  <c r="H177" i="16"/>
  <c r="G177" i="16"/>
  <c r="F177" i="16"/>
  <c r="S176" i="16"/>
  <c r="R176" i="16"/>
  <c r="Q176" i="16"/>
  <c r="P176" i="16"/>
  <c r="O176" i="16"/>
  <c r="N176" i="16"/>
  <c r="M176" i="16"/>
  <c r="L176" i="16"/>
  <c r="K176" i="16"/>
  <c r="J176" i="16"/>
  <c r="I176" i="16"/>
  <c r="H176" i="16"/>
  <c r="G176" i="16"/>
  <c r="F176" i="16"/>
  <c r="S175" i="16"/>
  <c r="R175" i="16"/>
  <c r="Q175" i="16"/>
  <c r="P175" i="16"/>
  <c r="O175" i="16"/>
  <c r="N175" i="16"/>
  <c r="M175" i="16"/>
  <c r="L175" i="16"/>
  <c r="K175" i="16"/>
  <c r="J175" i="16"/>
  <c r="I175" i="16"/>
  <c r="H175" i="16"/>
  <c r="G175" i="16"/>
  <c r="F175" i="16"/>
  <c r="S174" i="16"/>
  <c r="R174" i="16"/>
  <c r="Q174" i="16"/>
  <c r="P174" i="16"/>
  <c r="O174" i="16"/>
  <c r="N174" i="16"/>
  <c r="M174" i="16"/>
  <c r="L174" i="16"/>
  <c r="K174" i="16"/>
  <c r="J174" i="16"/>
  <c r="I174" i="16"/>
  <c r="H174" i="16"/>
  <c r="G174" i="16"/>
  <c r="F174" i="16"/>
  <c r="S173" i="16"/>
  <c r="R173" i="16"/>
  <c r="Q173" i="16"/>
  <c r="P173" i="16"/>
  <c r="O173" i="16"/>
  <c r="N173" i="16"/>
  <c r="M173" i="16"/>
  <c r="L173" i="16"/>
  <c r="K173" i="16"/>
  <c r="J173" i="16"/>
  <c r="I173" i="16"/>
  <c r="H173" i="16"/>
  <c r="G173" i="16"/>
  <c r="F173" i="16"/>
  <c r="S172" i="16"/>
  <c r="R172" i="16"/>
  <c r="Q172" i="16"/>
  <c r="P172" i="16"/>
  <c r="O172" i="16"/>
  <c r="N172" i="16"/>
  <c r="M172" i="16"/>
  <c r="L172" i="16"/>
  <c r="K172" i="16"/>
  <c r="J172" i="16"/>
  <c r="I172" i="16"/>
  <c r="H172" i="16"/>
  <c r="G172" i="16"/>
  <c r="F172" i="16"/>
  <c r="S169" i="16"/>
  <c r="R169" i="16"/>
  <c r="Q169" i="16"/>
  <c r="P169" i="16"/>
  <c r="O169" i="16"/>
  <c r="N169" i="16"/>
  <c r="M169" i="16"/>
  <c r="L169" i="16"/>
  <c r="K169" i="16"/>
  <c r="J169" i="16"/>
  <c r="I169" i="16"/>
  <c r="H169" i="16"/>
  <c r="G169" i="16"/>
  <c r="F169" i="16"/>
  <c r="S168" i="16"/>
  <c r="R168" i="16"/>
  <c r="Q168" i="16"/>
  <c r="P168" i="16"/>
  <c r="O168" i="16"/>
  <c r="N168" i="16"/>
  <c r="M168" i="16"/>
  <c r="L168" i="16"/>
  <c r="K168" i="16"/>
  <c r="J168" i="16"/>
  <c r="I168" i="16"/>
  <c r="H168" i="16"/>
  <c r="G168" i="16"/>
  <c r="F168" i="16"/>
  <c r="S165" i="16"/>
  <c r="R165" i="16"/>
  <c r="Q165" i="16"/>
  <c r="P165" i="16"/>
  <c r="O165" i="16"/>
  <c r="N165" i="16"/>
  <c r="M165" i="16"/>
  <c r="L165" i="16"/>
  <c r="K165" i="16"/>
  <c r="J165" i="16"/>
  <c r="I165" i="16"/>
  <c r="H165" i="16"/>
  <c r="G165" i="16"/>
  <c r="F165" i="16"/>
  <c r="S164" i="16"/>
  <c r="R164" i="16"/>
  <c r="Q164" i="16"/>
  <c r="P164" i="16"/>
  <c r="O164" i="16"/>
  <c r="N164" i="16"/>
  <c r="M164" i="16"/>
  <c r="L164" i="16"/>
  <c r="K164" i="16"/>
  <c r="J164" i="16"/>
  <c r="I164" i="16"/>
  <c r="H164" i="16"/>
  <c r="G164" i="16"/>
  <c r="F164" i="16"/>
  <c r="S163" i="16"/>
  <c r="R163" i="16"/>
  <c r="Q163" i="16"/>
  <c r="P163" i="16"/>
  <c r="O163" i="16"/>
  <c r="N163" i="16"/>
  <c r="M163" i="16"/>
  <c r="L163" i="16"/>
  <c r="K163" i="16"/>
  <c r="J163" i="16"/>
  <c r="I163" i="16"/>
  <c r="H163" i="16"/>
  <c r="G163" i="16"/>
  <c r="F163" i="16"/>
  <c r="S156" i="16"/>
  <c r="R156" i="16"/>
  <c r="Q156" i="16"/>
  <c r="P156" i="16"/>
  <c r="O156" i="16"/>
  <c r="N156" i="16"/>
  <c r="M156" i="16"/>
  <c r="L156" i="16"/>
  <c r="K156" i="16"/>
  <c r="J156" i="16"/>
  <c r="I156" i="16"/>
  <c r="H156" i="16"/>
  <c r="G156" i="16"/>
  <c r="F156" i="16"/>
  <c r="S155" i="16"/>
  <c r="R155" i="16"/>
  <c r="Q155" i="16"/>
  <c r="P155" i="16"/>
  <c r="O155" i="16"/>
  <c r="N155" i="16"/>
  <c r="M155" i="16"/>
  <c r="L155" i="16"/>
  <c r="K155" i="16"/>
  <c r="J155" i="16"/>
  <c r="I155" i="16"/>
  <c r="H155" i="16"/>
  <c r="G155" i="16"/>
  <c r="F155" i="16"/>
  <c r="S151" i="16"/>
  <c r="R151" i="16"/>
  <c r="Q151" i="16"/>
  <c r="P151" i="16"/>
  <c r="O151" i="16"/>
  <c r="N151" i="16"/>
  <c r="M151" i="16"/>
  <c r="L151" i="16"/>
  <c r="K151" i="16"/>
  <c r="J151" i="16"/>
  <c r="I151" i="16"/>
  <c r="H151" i="16"/>
  <c r="G151" i="16"/>
  <c r="F151" i="16"/>
  <c r="S150" i="16"/>
  <c r="R150" i="16"/>
  <c r="Q150" i="16"/>
  <c r="P150" i="16"/>
  <c r="O150" i="16"/>
  <c r="N150" i="16"/>
  <c r="M150" i="16"/>
  <c r="L150" i="16"/>
  <c r="K150" i="16"/>
  <c r="J150" i="16"/>
  <c r="I150" i="16"/>
  <c r="H150" i="16"/>
  <c r="G150" i="16"/>
  <c r="F150" i="16"/>
  <c r="S147" i="16"/>
  <c r="R147" i="16"/>
  <c r="Q147" i="16"/>
  <c r="P147" i="16"/>
  <c r="O147" i="16"/>
  <c r="N147" i="16"/>
  <c r="M147" i="16"/>
  <c r="K147" i="16"/>
  <c r="J147" i="16"/>
  <c r="I147" i="16"/>
  <c r="H147" i="16"/>
  <c r="G147" i="16"/>
  <c r="F147" i="16"/>
  <c r="S146" i="16"/>
  <c r="S148" i="16" s="1"/>
  <c r="R146" i="16"/>
  <c r="Q146" i="16"/>
  <c r="P146" i="16"/>
  <c r="O146" i="16"/>
  <c r="O148" i="16"/>
  <c r="N146" i="16"/>
  <c r="M146" i="16"/>
  <c r="L146" i="16"/>
  <c r="K146" i="16"/>
  <c r="K148" i="16" s="1"/>
  <c r="J146" i="16"/>
  <c r="J148" i="16"/>
  <c r="I146" i="16"/>
  <c r="I148" i="16" s="1"/>
  <c r="H146" i="16"/>
  <c r="G146" i="16"/>
  <c r="G148" i="16"/>
  <c r="F146" i="16"/>
  <c r="F148" i="16" s="1"/>
  <c r="S139" i="16"/>
  <c r="R139" i="16"/>
  <c r="Q139" i="16"/>
  <c r="P139" i="16"/>
  <c r="O139" i="16"/>
  <c r="N139" i="16"/>
  <c r="M139" i="16"/>
  <c r="L139" i="16"/>
  <c r="K139" i="16"/>
  <c r="J139" i="16"/>
  <c r="I139" i="16"/>
  <c r="H139" i="16"/>
  <c r="G139" i="16"/>
  <c r="F139" i="16"/>
  <c r="S138" i="16"/>
  <c r="R138" i="16"/>
  <c r="Q138" i="16"/>
  <c r="P138" i="16"/>
  <c r="O138" i="16"/>
  <c r="N138" i="16"/>
  <c r="M138" i="16"/>
  <c r="L138" i="16"/>
  <c r="K138" i="16"/>
  <c r="J138" i="16"/>
  <c r="I138" i="16"/>
  <c r="H138" i="16"/>
  <c r="G138" i="16"/>
  <c r="F138" i="16"/>
  <c r="S137" i="16"/>
  <c r="R137" i="16"/>
  <c r="Q137" i="16"/>
  <c r="P137" i="16"/>
  <c r="O137" i="16"/>
  <c r="N137" i="16"/>
  <c r="M137" i="16"/>
  <c r="L137" i="16"/>
  <c r="K137" i="16"/>
  <c r="J137" i="16"/>
  <c r="I137" i="16"/>
  <c r="H137" i="16"/>
  <c r="G137" i="16"/>
  <c r="F137" i="16"/>
  <c r="S136" i="16"/>
  <c r="R136" i="16"/>
  <c r="Q136" i="16"/>
  <c r="P136" i="16"/>
  <c r="O136" i="16"/>
  <c r="N136" i="16"/>
  <c r="M136" i="16"/>
  <c r="L136" i="16"/>
  <c r="K136" i="16"/>
  <c r="J136" i="16"/>
  <c r="I136" i="16"/>
  <c r="H136" i="16"/>
  <c r="G136" i="16"/>
  <c r="F136" i="16"/>
  <c r="S135" i="16"/>
  <c r="R135" i="16"/>
  <c r="Q135" i="16"/>
  <c r="P135" i="16"/>
  <c r="O135" i="16"/>
  <c r="N135" i="16"/>
  <c r="M135" i="16"/>
  <c r="L135" i="16"/>
  <c r="K135" i="16"/>
  <c r="J135" i="16"/>
  <c r="I135" i="16"/>
  <c r="H135" i="16"/>
  <c r="G135" i="16"/>
  <c r="F135" i="16"/>
  <c r="S129" i="16"/>
  <c r="R129" i="16"/>
  <c r="Q129" i="16"/>
  <c r="P129" i="16"/>
  <c r="O129" i="16"/>
  <c r="N129" i="16"/>
  <c r="M129" i="16"/>
  <c r="L129" i="16"/>
  <c r="K129" i="16"/>
  <c r="J129" i="16"/>
  <c r="I129" i="16"/>
  <c r="H129" i="16"/>
  <c r="G129" i="16"/>
  <c r="F129" i="16"/>
  <c r="S128" i="16"/>
  <c r="R128" i="16"/>
  <c r="Q128" i="16"/>
  <c r="P128" i="16"/>
  <c r="O128" i="16"/>
  <c r="N128" i="16"/>
  <c r="M128" i="16"/>
  <c r="L128" i="16"/>
  <c r="K128" i="16"/>
  <c r="J128" i="16"/>
  <c r="I128" i="16"/>
  <c r="H128" i="16"/>
  <c r="G128" i="16"/>
  <c r="F128" i="16"/>
  <c r="S127" i="16"/>
  <c r="R127" i="16"/>
  <c r="Q127" i="16"/>
  <c r="P127" i="16"/>
  <c r="O127" i="16"/>
  <c r="N127" i="16"/>
  <c r="M127" i="16"/>
  <c r="L127" i="16"/>
  <c r="K127" i="16"/>
  <c r="J127" i="16"/>
  <c r="I127" i="16"/>
  <c r="H127" i="16"/>
  <c r="G127" i="16"/>
  <c r="F127" i="16"/>
  <c r="S126" i="16"/>
  <c r="R126" i="16"/>
  <c r="Q126" i="16"/>
  <c r="P126" i="16"/>
  <c r="O126" i="16"/>
  <c r="N126" i="16"/>
  <c r="M126" i="16"/>
  <c r="L126" i="16"/>
  <c r="K126" i="16"/>
  <c r="J126" i="16"/>
  <c r="I126" i="16"/>
  <c r="H126" i="16"/>
  <c r="G126" i="16"/>
  <c r="F126" i="16"/>
  <c r="S125" i="16"/>
  <c r="R125" i="16"/>
  <c r="Q125" i="16"/>
  <c r="P125" i="16"/>
  <c r="O125" i="16"/>
  <c r="N125" i="16"/>
  <c r="M125" i="16"/>
  <c r="L125" i="16"/>
  <c r="K125" i="16"/>
  <c r="J125" i="16"/>
  <c r="I125" i="16"/>
  <c r="H125" i="16"/>
  <c r="G125" i="16"/>
  <c r="F125" i="16"/>
  <c r="S124" i="16"/>
  <c r="R124" i="16"/>
  <c r="Q124" i="16"/>
  <c r="P124" i="16"/>
  <c r="O124" i="16"/>
  <c r="N124" i="16"/>
  <c r="M124" i="16"/>
  <c r="L124" i="16"/>
  <c r="K124" i="16"/>
  <c r="J124" i="16"/>
  <c r="I124" i="16"/>
  <c r="H124" i="16"/>
  <c r="G124" i="16"/>
  <c r="F124" i="16"/>
  <c r="S122" i="16"/>
  <c r="R122" i="16"/>
  <c r="Q122" i="16"/>
  <c r="P122" i="16"/>
  <c r="O122" i="16"/>
  <c r="N122" i="16"/>
  <c r="M122" i="16"/>
  <c r="L122" i="16"/>
  <c r="K122" i="16"/>
  <c r="J122" i="16"/>
  <c r="I122" i="16"/>
  <c r="H122" i="16"/>
  <c r="G122" i="16"/>
  <c r="F122" i="16"/>
  <c r="S121" i="16"/>
  <c r="R121" i="16"/>
  <c r="Q121" i="16"/>
  <c r="P121" i="16"/>
  <c r="O121" i="16"/>
  <c r="N121" i="16"/>
  <c r="M121" i="16"/>
  <c r="L121" i="16"/>
  <c r="K121" i="16"/>
  <c r="J121" i="16"/>
  <c r="I121" i="16"/>
  <c r="H121" i="16"/>
  <c r="G121" i="16"/>
  <c r="F121" i="16"/>
  <c r="S120" i="16"/>
  <c r="R120" i="16"/>
  <c r="Q120" i="16"/>
  <c r="P120" i="16"/>
  <c r="O120" i="16"/>
  <c r="N120" i="16"/>
  <c r="M120" i="16"/>
  <c r="L120" i="16"/>
  <c r="K120" i="16"/>
  <c r="J120" i="16"/>
  <c r="I120" i="16"/>
  <c r="H120" i="16"/>
  <c r="G120" i="16"/>
  <c r="F120" i="16"/>
  <c r="S119" i="16"/>
  <c r="R119" i="16"/>
  <c r="Q119" i="16"/>
  <c r="P119" i="16"/>
  <c r="O119" i="16"/>
  <c r="N119" i="16"/>
  <c r="M119" i="16"/>
  <c r="L119" i="16"/>
  <c r="K119" i="16"/>
  <c r="J119" i="16"/>
  <c r="I119" i="16"/>
  <c r="H119" i="16"/>
  <c r="G119" i="16"/>
  <c r="F119" i="16"/>
  <c r="S114" i="16"/>
  <c r="R114" i="16"/>
  <c r="Q114" i="16"/>
  <c r="P114" i="16"/>
  <c r="O114" i="16"/>
  <c r="N114" i="16"/>
  <c r="M114" i="16"/>
  <c r="L114" i="16"/>
  <c r="K114" i="16"/>
  <c r="J114" i="16"/>
  <c r="I114" i="16"/>
  <c r="H114" i="16"/>
  <c r="G114" i="16"/>
  <c r="F114" i="16"/>
  <c r="S113" i="16"/>
  <c r="R113" i="16"/>
  <c r="Q113" i="16"/>
  <c r="P113" i="16"/>
  <c r="O113" i="16"/>
  <c r="N113" i="16"/>
  <c r="M113" i="16"/>
  <c r="L113" i="16"/>
  <c r="K113" i="16"/>
  <c r="J113" i="16"/>
  <c r="I113" i="16"/>
  <c r="H113" i="16"/>
  <c r="G113" i="16"/>
  <c r="F113" i="16"/>
  <c r="S112" i="16"/>
  <c r="R112" i="16"/>
  <c r="Q112" i="16"/>
  <c r="P112" i="16"/>
  <c r="O112" i="16"/>
  <c r="N112" i="16"/>
  <c r="M112" i="16"/>
  <c r="L112" i="16"/>
  <c r="K112" i="16"/>
  <c r="J112" i="16"/>
  <c r="I112" i="16"/>
  <c r="H112" i="16"/>
  <c r="G112" i="16"/>
  <c r="F112" i="16"/>
  <c r="S110" i="16"/>
  <c r="R110" i="16"/>
  <c r="Q110" i="16"/>
  <c r="P110" i="16"/>
  <c r="O110" i="16"/>
  <c r="N110" i="16"/>
  <c r="K110" i="16"/>
  <c r="I110" i="16"/>
  <c r="G110" i="16"/>
  <c r="F110" i="16"/>
  <c r="S109" i="16"/>
  <c r="R109" i="16"/>
  <c r="Q109" i="16"/>
  <c r="P109" i="16"/>
  <c r="O109" i="16"/>
  <c r="N109" i="16"/>
  <c r="M109" i="16"/>
  <c r="L109" i="16"/>
  <c r="K109" i="16"/>
  <c r="J109" i="16"/>
  <c r="I109" i="16"/>
  <c r="H109" i="16"/>
  <c r="G109" i="16"/>
  <c r="F109" i="16"/>
  <c r="S108" i="16"/>
  <c r="R108" i="16"/>
  <c r="Q108" i="16"/>
  <c r="P108" i="16"/>
  <c r="O108" i="16"/>
  <c r="N108" i="16"/>
  <c r="M108" i="16"/>
  <c r="L108" i="16"/>
  <c r="K108" i="16"/>
  <c r="J108" i="16"/>
  <c r="I108" i="16"/>
  <c r="H108" i="16"/>
  <c r="G108" i="16"/>
  <c r="F108" i="16"/>
  <c r="S107" i="16"/>
  <c r="R107" i="16"/>
  <c r="Q107" i="16"/>
  <c r="P107" i="16"/>
  <c r="O107" i="16"/>
  <c r="N107" i="16"/>
  <c r="M107" i="16"/>
  <c r="L107" i="16"/>
  <c r="K107" i="16"/>
  <c r="J107" i="16"/>
  <c r="I107" i="16"/>
  <c r="H107" i="16"/>
  <c r="G107" i="16"/>
  <c r="F107" i="16"/>
  <c r="S106" i="16"/>
  <c r="R106" i="16"/>
  <c r="Q106" i="16"/>
  <c r="P106" i="16"/>
  <c r="O106" i="16"/>
  <c r="N106" i="16"/>
  <c r="M106" i="16"/>
  <c r="L106" i="16"/>
  <c r="K106" i="16"/>
  <c r="J106" i="16"/>
  <c r="I106" i="16"/>
  <c r="H106" i="16"/>
  <c r="G106" i="16"/>
  <c r="F106" i="16"/>
  <c r="N103" i="16"/>
  <c r="M103" i="16"/>
  <c r="L103" i="16"/>
  <c r="K103" i="16"/>
  <c r="J103" i="16"/>
  <c r="I103" i="16"/>
  <c r="H103" i="16"/>
  <c r="G103" i="16"/>
  <c r="F103" i="16"/>
  <c r="S102" i="16"/>
  <c r="R102" i="16"/>
  <c r="Q102" i="16"/>
  <c r="P102" i="16"/>
  <c r="O102" i="16"/>
  <c r="N102" i="16"/>
  <c r="M102" i="16"/>
  <c r="L102" i="16"/>
  <c r="K102" i="16"/>
  <c r="J102" i="16"/>
  <c r="I102" i="16"/>
  <c r="H102" i="16"/>
  <c r="G102" i="16"/>
  <c r="F102" i="16"/>
  <c r="S101" i="16"/>
  <c r="R101" i="16"/>
  <c r="Q101" i="16"/>
  <c r="P101" i="16"/>
  <c r="O101" i="16"/>
  <c r="N101" i="16"/>
  <c r="M101" i="16"/>
  <c r="L101" i="16"/>
  <c r="K101" i="16"/>
  <c r="J101" i="16"/>
  <c r="I101" i="16"/>
  <c r="H101" i="16"/>
  <c r="G101" i="16"/>
  <c r="F101" i="16"/>
  <c r="S99" i="16"/>
  <c r="R99" i="16"/>
  <c r="Q99" i="16"/>
  <c r="P99" i="16"/>
  <c r="O99" i="16"/>
  <c r="N99" i="16"/>
  <c r="M99" i="16"/>
  <c r="L99" i="16"/>
  <c r="K99" i="16"/>
  <c r="J99" i="16"/>
  <c r="I99" i="16"/>
  <c r="H99" i="16"/>
  <c r="G99" i="16"/>
  <c r="F99" i="16"/>
  <c r="S98" i="16"/>
  <c r="R98" i="16"/>
  <c r="Q98" i="16"/>
  <c r="P98" i="16"/>
  <c r="O98" i="16"/>
  <c r="N98" i="16"/>
  <c r="M98" i="16"/>
  <c r="L98" i="16"/>
  <c r="K98" i="16"/>
  <c r="J98" i="16"/>
  <c r="I98" i="16"/>
  <c r="H98" i="16"/>
  <c r="G98" i="16"/>
  <c r="F98" i="16"/>
  <c r="S97" i="16"/>
  <c r="R97" i="16"/>
  <c r="Q97" i="16"/>
  <c r="P97" i="16"/>
  <c r="O97" i="16"/>
  <c r="N97" i="16"/>
  <c r="M97" i="16"/>
  <c r="L97" i="16"/>
  <c r="K97" i="16"/>
  <c r="J97" i="16"/>
  <c r="I97" i="16"/>
  <c r="H97" i="16"/>
  <c r="G97" i="16"/>
  <c r="F97" i="16"/>
  <c r="S96" i="16"/>
  <c r="R96" i="16"/>
  <c r="Q96" i="16"/>
  <c r="P96" i="16"/>
  <c r="O96" i="16"/>
  <c r="N96" i="16"/>
  <c r="M96" i="16"/>
  <c r="L96" i="16"/>
  <c r="K96" i="16"/>
  <c r="J96" i="16"/>
  <c r="I96" i="16"/>
  <c r="H96" i="16"/>
  <c r="G96" i="16"/>
  <c r="F96" i="16"/>
  <c r="S95" i="16"/>
  <c r="R95" i="16"/>
  <c r="Q95" i="16"/>
  <c r="P95" i="16"/>
  <c r="O95" i="16"/>
  <c r="N95" i="16"/>
  <c r="M95" i="16"/>
  <c r="L95" i="16"/>
  <c r="K95" i="16"/>
  <c r="J95" i="16"/>
  <c r="I95" i="16"/>
  <c r="H95" i="16"/>
  <c r="G95" i="16"/>
  <c r="F95" i="16"/>
  <c r="S91" i="16"/>
  <c r="R91" i="16"/>
  <c r="Q91" i="16"/>
  <c r="P91" i="16"/>
  <c r="O91" i="16"/>
  <c r="N91" i="16"/>
  <c r="M91" i="16"/>
  <c r="L91" i="16"/>
  <c r="K91" i="16"/>
  <c r="J91" i="16"/>
  <c r="I91" i="16"/>
  <c r="H91" i="16"/>
  <c r="G91" i="16"/>
  <c r="F91" i="16"/>
  <c r="S90" i="16"/>
  <c r="S380" i="16"/>
  <c r="R90" i="16"/>
  <c r="R380" i="16"/>
  <c r="Q90" i="16"/>
  <c r="Q380" i="16"/>
  <c r="P90" i="16"/>
  <c r="P380" i="16"/>
  <c r="O90" i="16"/>
  <c r="O380" i="16"/>
  <c r="N90" i="16"/>
  <c r="N380" i="16"/>
  <c r="M90" i="16"/>
  <c r="M380" i="16"/>
  <c r="L90" i="16"/>
  <c r="L380" i="16"/>
  <c r="K90" i="16"/>
  <c r="K380" i="16"/>
  <c r="J90" i="16"/>
  <c r="J380" i="16"/>
  <c r="I90" i="16"/>
  <c r="I380" i="16"/>
  <c r="H90" i="16"/>
  <c r="H380" i="16"/>
  <c r="G90" i="16"/>
  <c r="G380" i="16"/>
  <c r="F90" i="16"/>
  <c r="F380" i="16"/>
  <c r="S88" i="16"/>
  <c r="R88" i="16"/>
  <c r="Q88" i="16"/>
  <c r="P88" i="16"/>
  <c r="O88" i="16"/>
  <c r="N88" i="16"/>
  <c r="M88" i="16"/>
  <c r="L88" i="16"/>
  <c r="K88" i="16"/>
  <c r="J88" i="16"/>
  <c r="I88" i="16"/>
  <c r="H88" i="16"/>
  <c r="G88" i="16"/>
  <c r="F88" i="16"/>
  <c r="S86" i="16"/>
  <c r="R86" i="16"/>
  <c r="Q86" i="16"/>
  <c r="P86" i="16"/>
  <c r="O86" i="16"/>
  <c r="N86" i="16"/>
  <c r="M86" i="16"/>
  <c r="L86" i="16"/>
  <c r="K86" i="16"/>
  <c r="J86" i="16"/>
  <c r="I86" i="16"/>
  <c r="H86" i="16"/>
  <c r="G86" i="16"/>
  <c r="F86" i="16"/>
  <c r="N85" i="16"/>
  <c r="M85" i="16"/>
  <c r="L85" i="16"/>
  <c r="K85" i="16"/>
  <c r="J85" i="16"/>
  <c r="I85" i="16"/>
  <c r="H85" i="16"/>
  <c r="G85" i="16"/>
  <c r="F85" i="16"/>
  <c r="S83" i="16"/>
  <c r="R83" i="16"/>
  <c r="Q83" i="16"/>
  <c r="P83" i="16"/>
  <c r="O83" i="16"/>
  <c r="N83" i="16"/>
  <c r="M83" i="16"/>
  <c r="L83" i="16"/>
  <c r="K83" i="16"/>
  <c r="J83" i="16"/>
  <c r="I83" i="16"/>
  <c r="H83" i="16"/>
  <c r="G83" i="16"/>
  <c r="F83" i="16"/>
  <c r="N82" i="16"/>
  <c r="M82" i="16"/>
  <c r="L82" i="16"/>
  <c r="K82" i="16"/>
  <c r="J82" i="16"/>
  <c r="I82" i="16"/>
  <c r="H82" i="16"/>
  <c r="G82" i="16"/>
  <c r="F82" i="16"/>
  <c r="N76" i="16"/>
  <c r="M76" i="16"/>
  <c r="L76" i="16"/>
  <c r="K76" i="16"/>
  <c r="J76" i="16"/>
  <c r="I76" i="16"/>
  <c r="H76" i="16"/>
  <c r="G76" i="16"/>
  <c r="F76" i="16"/>
  <c r="S71" i="16"/>
  <c r="R71" i="16"/>
  <c r="Q71" i="16"/>
  <c r="P71" i="16"/>
  <c r="O71" i="16"/>
  <c r="N71" i="16"/>
  <c r="M71" i="16"/>
  <c r="L71" i="16"/>
  <c r="K71" i="16"/>
  <c r="J71" i="16"/>
  <c r="I71" i="16"/>
  <c r="H71" i="16"/>
  <c r="G71" i="16"/>
  <c r="F71" i="16"/>
  <c r="S49" i="16"/>
  <c r="R49" i="16"/>
  <c r="Q49" i="16"/>
  <c r="P49" i="16"/>
  <c r="O49" i="16"/>
  <c r="N49" i="16"/>
  <c r="M49" i="16"/>
  <c r="L49" i="16"/>
  <c r="K49" i="16"/>
  <c r="J49" i="16"/>
  <c r="I49" i="16"/>
  <c r="H49" i="16"/>
  <c r="G49" i="16"/>
  <c r="F49" i="16"/>
  <c r="S46" i="16"/>
  <c r="R46" i="16"/>
  <c r="Q46" i="16"/>
  <c r="P46" i="16"/>
  <c r="O46" i="16"/>
  <c r="N46" i="16"/>
  <c r="M46" i="16"/>
  <c r="L46" i="16"/>
  <c r="K46" i="16"/>
  <c r="J46" i="16"/>
  <c r="I46" i="16"/>
  <c r="H46" i="16"/>
  <c r="G46" i="16"/>
  <c r="F46" i="16"/>
  <c r="P197" i="16"/>
  <c r="Q197" i="16"/>
  <c r="R197" i="16"/>
  <c r="S197" i="16"/>
  <c r="P198" i="16"/>
  <c r="Q198" i="16"/>
  <c r="R198" i="16"/>
  <c r="S198" i="16"/>
  <c r="P199" i="16"/>
  <c r="Q199" i="16"/>
  <c r="R199" i="16"/>
  <c r="S199" i="16"/>
  <c r="G197" i="16"/>
  <c r="H197" i="16"/>
  <c r="I197" i="16"/>
  <c r="J197" i="16"/>
  <c r="K197" i="16"/>
  <c r="L197" i="16"/>
  <c r="M197" i="16"/>
  <c r="N197" i="16"/>
  <c r="O197" i="16"/>
  <c r="G198" i="16"/>
  <c r="H198" i="16"/>
  <c r="I198" i="16"/>
  <c r="J198" i="16"/>
  <c r="K198" i="16"/>
  <c r="L198" i="16"/>
  <c r="M198" i="16"/>
  <c r="N198" i="16"/>
  <c r="O198" i="16"/>
  <c r="G199" i="16"/>
  <c r="H199" i="16"/>
  <c r="I199" i="16"/>
  <c r="J199" i="16"/>
  <c r="K199" i="16"/>
  <c r="L199" i="16"/>
  <c r="M199" i="16"/>
  <c r="N199" i="16"/>
  <c r="O199" i="16"/>
  <c r="F199" i="16"/>
  <c r="F198" i="16"/>
  <c r="F197" i="16"/>
  <c r="F35" i="16"/>
  <c r="G35" i="16"/>
  <c r="H35" i="16"/>
  <c r="I35" i="16"/>
  <c r="J35" i="16"/>
  <c r="K35" i="16"/>
  <c r="L35" i="16"/>
  <c r="M35" i="16"/>
  <c r="N35" i="16"/>
  <c r="O35" i="16"/>
  <c r="P35" i="16"/>
  <c r="Q35" i="16"/>
  <c r="R35" i="16"/>
  <c r="S35" i="16"/>
  <c r="P31" i="16"/>
  <c r="Q31" i="16"/>
  <c r="R31" i="16"/>
  <c r="S31" i="16"/>
  <c r="P32" i="16"/>
  <c r="Q32" i="16"/>
  <c r="R32" i="16"/>
  <c r="S32" i="16"/>
  <c r="P33" i="16"/>
  <c r="Q33" i="16"/>
  <c r="R33" i="16"/>
  <c r="S33" i="16"/>
  <c r="G31" i="16"/>
  <c r="H31" i="16"/>
  <c r="I31" i="16"/>
  <c r="J31" i="16"/>
  <c r="K31" i="16"/>
  <c r="L31" i="16"/>
  <c r="M31" i="16"/>
  <c r="N31" i="16"/>
  <c r="O31" i="16"/>
  <c r="G32" i="16"/>
  <c r="H32" i="16"/>
  <c r="I32" i="16"/>
  <c r="J32" i="16"/>
  <c r="K32" i="16"/>
  <c r="L32" i="16"/>
  <c r="M32" i="16"/>
  <c r="N32" i="16"/>
  <c r="O32" i="16"/>
  <c r="G33" i="16"/>
  <c r="H33" i="16"/>
  <c r="I33" i="16"/>
  <c r="J33" i="16"/>
  <c r="K33" i="16"/>
  <c r="L33" i="16"/>
  <c r="M33" i="16"/>
  <c r="N33" i="16"/>
  <c r="O33" i="16"/>
  <c r="F33" i="16"/>
  <c r="F32" i="16"/>
  <c r="F31" i="16"/>
  <c r="F29" i="16"/>
  <c r="G29" i="16"/>
  <c r="H29" i="16"/>
  <c r="I29" i="16"/>
  <c r="J29" i="16"/>
  <c r="K29" i="16"/>
  <c r="L29" i="16"/>
  <c r="M29" i="16"/>
  <c r="N29" i="16"/>
  <c r="O29" i="16"/>
  <c r="P29" i="16"/>
  <c r="Q29" i="16"/>
  <c r="R29" i="16"/>
  <c r="S29" i="16"/>
  <c r="P27" i="16"/>
  <c r="Q27" i="16"/>
  <c r="R27" i="16"/>
  <c r="S27" i="16"/>
  <c r="G27" i="16"/>
  <c r="H27" i="16"/>
  <c r="I27" i="16"/>
  <c r="J27" i="16"/>
  <c r="K27" i="16"/>
  <c r="L27" i="16"/>
  <c r="M27" i="16"/>
  <c r="N27" i="16"/>
  <c r="O27" i="16"/>
  <c r="F27" i="16"/>
  <c r="F25" i="16"/>
  <c r="G25" i="16"/>
  <c r="H25" i="16"/>
  <c r="I25" i="16"/>
  <c r="J25" i="16"/>
  <c r="K25" i="16"/>
  <c r="L25" i="16"/>
  <c r="M25" i="16"/>
  <c r="N25" i="16"/>
  <c r="O25" i="16"/>
  <c r="P25" i="16"/>
  <c r="Q25" i="16"/>
  <c r="R25" i="16"/>
  <c r="S25" i="16"/>
  <c r="P23" i="16"/>
  <c r="Q23" i="16"/>
  <c r="R23" i="16"/>
  <c r="S23" i="16"/>
  <c r="O23" i="16"/>
  <c r="G23" i="16"/>
  <c r="H23" i="16"/>
  <c r="I23" i="16"/>
  <c r="J23" i="16"/>
  <c r="K23" i="16"/>
  <c r="L23" i="16"/>
  <c r="M23" i="16"/>
  <c r="N23" i="16"/>
  <c r="P20" i="16"/>
  <c r="Q20" i="16"/>
  <c r="R20" i="16"/>
  <c r="S20" i="16"/>
  <c r="O20" i="16"/>
  <c r="N20" i="16"/>
  <c r="G20" i="16"/>
  <c r="H20" i="16"/>
  <c r="I20" i="16"/>
  <c r="J20" i="16"/>
  <c r="K20" i="16"/>
  <c r="L20" i="16"/>
  <c r="M20" i="16"/>
  <c r="F23" i="16"/>
  <c r="F20" i="16"/>
  <c r="F17" i="16"/>
  <c r="G17" i="16"/>
  <c r="H17" i="16"/>
  <c r="I17" i="16"/>
  <c r="J17" i="16"/>
  <c r="K17" i="16"/>
  <c r="L17" i="16"/>
  <c r="M17" i="16"/>
  <c r="N17" i="16"/>
  <c r="O17" i="16"/>
  <c r="P17" i="16"/>
  <c r="Q17" i="16"/>
  <c r="R17" i="16"/>
  <c r="S17" i="16"/>
  <c r="P15" i="16"/>
  <c r="Q15" i="16"/>
  <c r="R15" i="16"/>
  <c r="S15" i="16"/>
  <c r="O15" i="16"/>
  <c r="G15" i="16"/>
  <c r="G21" i="16" s="1"/>
  <c r="H15" i="16"/>
  <c r="I15" i="16"/>
  <c r="J15" i="16"/>
  <c r="K15" i="16"/>
  <c r="L15" i="16"/>
  <c r="M15" i="16"/>
  <c r="N15" i="16"/>
  <c r="F15" i="16"/>
  <c r="F11" i="16"/>
  <c r="G11" i="16"/>
  <c r="H11" i="16"/>
  <c r="I11" i="16"/>
  <c r="J11" i="16"/>
  <c r="K11" i="16"/>
  <c r="L11" i="16"/>
  <c r="M11" i="16"/>
  <c r="N11" i="16"/>
  <c r="O11" i="16"/>
  <c r="P11" i="16"/>
  <c r="Q11" i="16"/>
  <c r="R11" i="16"/>
  <c r="S11" i="16"/>
  <c r="P9" i="16"/>
  <c r="Q9" i="16"/>
  <c r="R9" i="16"/>
  <c r="S9" i="16"/>
  <c r="O9" i="16"/>
  <c r="G9" i="16"/>
  <c r="H9" i="16"/>
  <c r="I9" i="16"/>
  <c r="J9" i="16"/>
  <c r="K9" i="16"/>
  <c r="L9" i="16"/>
  <c r="M9" i="16"/>
  <c r="N9" i="16"/>
  <c r="F9" i="16"/>
  <c r="F6" i="15"/>
  <c r="F8" i="15"/>
  <c r="G6" i="15"/>
  <c r="G8" i="15" s="1"/>
  <c r="H6" i="15"/>
  <c r="H8" i="15" s="1"/>
  <c r="H32" i="15" s="1"/>
  <c r="H33" i="15" s="1"/>
  <c r="I6" i="15"/>
  <c r="I8" i="15"/>
  <c r="E6" i="15"/>
  <c r="E8" i="15" s="1"/>
  <c r="F5" i="15"/>
  <c r="G5" i="15"/>
  <c r="H5" i="15"/>
  <c r="I5" i="15"/>
  <c r="E5" i="15"/>
  <c r="P7" i="20"/>
  <c r="Q7" i="20"/>
  <c r="R7" i="20"/>
  <c r="S7" i="20"/>
  <c r="S8" i="20" s="1"/>
  <c r="O7" i="20"/>
  <c r="S438" i="27"/>
  <c r="S439" i="27" s="1"/>
  <c r="R438" i="27"/>
  <c r="R439" i="27"/>
  <c r="Q438" i="27"/>
  <c r="Q439" i="27" s="1"/>
  <c r="P438" i="27"/>
  <c r="P439" i="27"/>
  <c r="O438" i="27"/>
  <c r="O439" i="27" s="1"/>
  <c r="N438" i="27"/>
  <c r="N439" i="27"/>
  <c r="M438" i="27"/>
  <c r="M439" i="27" s="1"/>
  <c r="L438" i="27"/>
  <c r="K438" i="27"/>
  <c r="J438" i="27"/>
  <c r="J439" i="27" s="1"/>
  <c r="I438" i="27"/>
  <c r="H438" i="27"/>
  <c r="G438" i="27"/>
  <c r="G439" i="27" s="1"/>
  <c r="F438" i="27"/>
  <c r="F439" i="27" s="1"/>
  <c r="L435" i="27"/>
  <c r="L439" i="27"/>
  <c r="K435" i="27"/>
  <c r="J435" i="27"/>
  <c r="I435" i="27"/>
  <c r="H435" i="27"/>
  <c r="H439" i="27"/>
  <c r="G435" i="27"/>
  <c r="G475" i="25" s="1"/>
  <c r="F435" i="27"/>
  <c r="S432" i="27"/>
  <c r="R432" i="27"/>
  <c r="Q432" i="27"/>
  <c r="P432" i="27"/>
  <c r="O432" i="27"/>
  <c r="K432" i="27"/>
  <c r="J432" i="27"/>
  <c r="I432" i="27"/>
  <c r="H432" i="27"/>
  <c r="G432" i="27"/>
  <c r="F432" i="27"/>
  <c r="N431" i="27"/>
  <c r="N432" i="27"/>
  <c r="M431" i="27"/>
  <c r="M432" i="27" s="1"/>
  <c r="L431" i="27"/>
  <c r="L432" i="27"/>
  <c r="S428" i="27"/>
  <c r="S434" i="27" s="1"/>
  <c r="R428" i="27"/>
  <c r="R434" i="27"/>
  <c r="Q428" i="27"/>
  <c r="Q434" i="27" s="1"/>
  <c r="P428" i="27"/>
  <c r="P434" i="27"/>
  <c r="O428" i="27"/>
  <c r="N428" i="27"/>
  <c r="N434" i="27"/>
  <c r="M428" i="27"/>
  <c r="M434" i="27" s="1"/>
  <c r="L428" i="27"/>
  <c r="L434" i="27"/>
  <c r="K428" i="27"/>
  <c r="J428" i="27"/>
  <c r="J434" i="27"/>
  <c r="I428" i="27"/>
  <c r="I434" i="27" s="1"/>
  <c r="H428" i="27"/>
  <c r="H434" i="27"/>
  <c r="G428" i="27"/>
  <c r="F428" i="27"/>
  <c r="F434" i="27"/>
  <c r="M417" i="27"/>
  <c r="M305" i="16" s="1"/>
  <c r="M306" i="16" s="1"/>
  <c r="L417" i="27"/>
  <c r="L305" i="16"/>
  <c r="L306" i="16" s="1"/>
  <c r="L416" i="27"/>
  <c r="L147" i="25"/>
  <c r="S414" i="27"/>
  <c r="R414" i="27"/>
  <c r="Q414" i="27"/>
  <c r="P414" i="27"/>
  <c r="O414" i="27"/>
  <c r="N414" i="27"/>
  <c r="L414" i="27"/>
  <c r="K414" i="27"/>
  <c r="J414" i="27"/>
  <c r="I414" i="27"/>
  <c r="H414" i="27"/>
  <c r="G414" i="27"/>
  <c r="F414" i="27"/>
  <c r="M413" i="27"/>
  <c r="M410" i="27"/>
  <c r="M414" i="27"/>
  <c r="F407" i="27"/>
  <c r="G407" i="27" s="1"/>
  <c r="F404" i="27"/>
  <c r="S401" i="27"/>
  <c r="R401" i="27"/>
  <c r="Q401" i="27"/>
  <c r="P401" i="27"/>
  <c r="O401" i="27"/>
  <c r="N401" i="27"/>
  <c r="M401" i="27"/>
  <c r="L401" i="27"/>
  <c r="K401" i="27"/>
  <c r="J401" i="27"/>
  <c r="I401" i="27"/>
  <c r="H401" i="27"/>
  <c r="G401" i="27"/>
  <c r="F401" i="27"/>
  <c r="F397" i="27"/>
  <c r="F395" i="27"/>
  <c r="F376" i="25" s="1"/>
  <c r="G395" i="27"/>
  <c r="S392" i="27"/>
  <c r="R392" i="27"/>
  <c r="I392" i="27"/>
  <c r="H392" i="27"/>
  <c r="G392" i="27"/>
  <c r="F392" i="27"/>
  <c r="Q391" i="27"/>
  <c r="Q392" i="27"/>
  <c r="P391" i="27"/>
  <c r="P392" i="27"/>
  <c r="O391" i="27"/>
  <c r="O392" i="27"/>
  <c r="N391" i="27"/>
  <c r="N392" i="27"/>
  <c r="M391" i="27"/>
  <c r="M392" i="27"/>
  <c r="L391" i="27"/>
  <c r="L392" i="27"/>
  <c r="K391" i="27"/>
  <c r="K440" i="16" s="1"/>
  <c r="K392" i="27"/>
  <c r="J391" i="27"/>
  <c r="J392" i="27"/>
  <c r="S387" i="27"/>
  <c r="R387" i="27"/>
  <c r="Q387" i="27"/>
  <c r="P387" i="27"/>
  <c r="O387" i="27"/>
  <c r="N387" i="27"/>
  <c r="L387" i="27"/>
  <c r="K387" i="27"/>
  <c r="J387" i="27"/>
  <c r="I387" i="27"/>
  <c r="H387" i="27"/>
  <c r="G387" i="27"/>
  <c r="F387" i="27"/>
  <c r="M386" i="27"/>
  <c r="M384" i="27"/>
  <c r="S382" i="27"/>
  <c r="R382" i="27"/>
  <c r="Q382" i="27"/>
  <c r="P382" i="27"/>
  <c r="O382" i="27"/>
  <c r="N382" i="27"/>
  <c r="M382" i="27"/>
  <c r="L382" i="27"/>
  <c r="K382" i="27"/>
  <c r="J382" i="27"/>
  <c r="I382" i="27"/>
  <c r="H382" i="27"/>
  <c r="G382" i="27"/>
  <c r="F382" i="27"/>
  <c r="F374" i="27"/>
  <c r="G374" i="27" s="1"/>
  <c r="S366" i="27"/>
  <c r="R366" i="27"/>
  <c r="Q366" i="27"/>
  <c r="P366" i="27"/>
  <c r="O366" i="27"/>
  <c r="N366" i="27"/>
  <c r="M366" i="27"/>
  <c r="L366" i="27"/>
  <c r="K366" i="27"/>
  <c r="J366" i="27"/>
  <c r="I366" i="27"/>
  <c r="H366" i="27"/>
  <c r="G366" i="27"/>
  <c r="F366" i="27"/>
  <c r="F359" i="27"/>
  <c r="G359" i="27" s="1"/>
  <c r="H359" i="27"/>
  <c r="I359" i="27"/>
  <c r="J359" i="27"/>
  <c r="K359" i="27" s="1"/>
  <c r="L359" i="27" s="1"/>
  <c r="M359" i="27" s="1"/>
  <c r="N359" i="27" s="1"/>
  <c r="O359" i="27" s="1"/>
  <c r="P359" i="27" s="1"/>
  <c r="Q359" i="27" s="1"/>
  <c r="R359" i="27" s="1"/>
  <c r="S359" i="27" s="1"/>
  <c r="F353" i="27"/>
  <c r="G353" i="27"/>
  <c r="H353" i="27" s="1"/>
  <c r="S347" i="27"/>
  <c r="R347" i="27"/>
  <c r="Q347" i="27"/>
  <c r="P347" i="27"/>
  <c r="O347" i="27"/>
  <c r="M347" i="27"/>
  <c r="L347" i="27"/>
  <c r="K347" i="27"/>
  <c r="J347" i="27"/>
  <c r="I347" i="27"/>
  <c r="H347" i="27"/>
  <c r="G347" i="27"/>
  <c r="F347" i="27"/>
  <c r="N347" i="27"/>
  <c r="F340" i="27"/>
  <c r="F341" i="27"/>
  <c r="S332" i="27"/>
  <c r="R332" i="27"/>
  <c r="Q332" i="27"/>
  <c r="P332" i="27"/>
  <c r="O332" i="27"/>
  <c r="N332" i="27"/>
  <c r="L332" i="27"/>
  <c r="K332" i="27"/>
  <c r="J332" i="27"/>
  <c r="H332" i="27"/>
  <c r="I331" i="27"/>
  <c r="G331" i="27"/>
  <c r="F331" i="27"/>
  <c r="R325" i="27"/>
  <c r="Q325" i="27"/>
  <c r="P325" i="27"/>
  <c r="O325" i="27"/>
  <c r="N325" i="27"/>
  <c r="L325" i="27"/>
  <c r="K325" i="27"/>
  <c r="J325" i="27"/>
  <c r="H325" i="27"/>
  <c r="M324" i="27"/>
  <c r="I324" i="27"/>
  <c r="I325" i="27" s="1"/>
  <c r="G324" i="27"/>
  <c r="G325" i="27"/>
  <c r="F324" i="27"/>
  <c r="F332" i="27" s="1"/>
  <c r="M323" i="27"/>
  <c r="M332" i="27"/>
  <c r="F319" i="27"/>
  <c r="S318" i="27"/>
  <c r="R318" i="27"/>
  <c r="Q318" i="27"/>
  <c r="P318" i="27"/>
  <c r="O318" i="27"/>
  <c r="N318" i="27"/>
  <c r="M318" i="27"/>
  <c r="L318" i="27"/>
  <c r="K318" i="27"/>
  <c r="J318" i="27"/>
  <c r="I318" i="27"/>
  <c r="H318" i="27"/>
  <c r="G318" i="27"/>
  <c r="F318" i="27"/>
  <c r="S317" i="27"/>
  <c r="R317" i="27"/>
  <c r="Q317" i="27"/>
  <c r="P317" i="27"/>
  <c r="O317" i="27"/>
  <c r="N317" i="27"/>
  <c r="M317" i="27"/>
  <c r="L317" i="27"/>
  <c r="K317" i="27"/>
  <c r="J317" i="27"/>
  <c r="I317" i="27"/>
  <c r="H317" i="27"/>
  <c r="G317" i="27"/>
  <c r="F317" i="27"/>
  <c r="S316" i="27"/>
  <c r="R316" i="27"/>
  <c r="Q316" i="27"/>
  <c r="P316" i="27"/>
  <c r="O316" i="27"/>
  <c r="N316" i="27"/>
  <c r="M316" i="27"/>
  <c r="L316" i="27"/>
  <c r="K316" i="27"/>
  <c r="J316" i="27"/>
  <c r="I316" i="27"/>
  <c r="H316" i="27"/>
  <c r="G316" i="27"/>
  <c r="F316" i="27"/>
  <c r="S304" i="27"/>
  <c r="R304" i="27"/>
  <c r="Q304" i="27"/>
  <c r="P304" i="27"/>
  <c r="O304" i="27"/>
  <c r="N304" i="27"/>
  <c r="M304" i="27"/>
  <c r="L304" i="27"/>
  <c r="K304" i="27"/>
  <c r="J304" i="27"/>
  <c r="I304" i="27"/>
  <c r="H304" i="27"/>
  <c r="G304" i="27"/>
  <c r="F304" i="27"/>
  <c r="S298" i="27"/>
  <c r="R298" i="27"/>
  <c r="Q298" i="27"/>
  <c r="P298" i="27"/>
  <c r="O298" i="27"/>
  <c r="N298" i="27"/>
  <c r="M298" i="27"/>
  <c r="L298" i="27"/>
  <c r="K298" i="27"/>
  <c r="J298" i="27"/>
  <c r="I298" i="27"/>
  <c r="H298" i="27"/>
  <c r="G298" i="27"/>
  <c r="F298" i="27"/>
  <c r="S293" i="27"/>
  <c r="R293" i="27"/>
  <c r="Q293" i="27"/>
  <c r="P293" i="27"/>
  <c r="O293" i="27"/>
  <c r="N293" i="27"/>
  <c r="M293" i="27"/>
  <c r="L293" i="27"/>
  <c r="K293" i="27"/>
  <c r="J293" i="27"/>
  <c r="I293" i="27"/>
  <c r="H293" i="27"/>
  <c r="G293" i="27"/>
  <c r="F293" i="27"/>
  <c r="S288" i="27"/>
  <c r="R288" i="27"/>
  <c r="Q288" i="27"/>
  <c r="P288" i="27"/>
  <c r="O288" i="27"/>
  <c r="N288" i="27"/>
  <c r="M288" i="27"/>
  <c r="L288" i="27"/>
  <c r="K288" i="27"/>
  <c r="J288" i="27"/>
  <c r="I288" i="27"/>
  <c r="H288" i="27"/>
  <c r="G288" i="27"/>
  <c r="F288" i="27"/>
  <c r="S281" i="27"/>
  <c r="R281" i="27"/>
  <c r="Q281" i="27"/>
  <c r="P281" i="27"/>
  <c r="O281" i="27"/>
  <c r="N281" i="27"/>
  <c r="M281" i="27"/>
  <c r="L281" i="27"/>
  <c r="K281" i="27"/>
  <c r="J281" i="27"/>
  <c r="I281" i="27"/>
  <c r="H281" i="27"/>
  <c r="G281" i="27"/>
  <c r="F281" i="27"/>
  <c r="S273" i="27"/>
  <c r="R273" i="27"/>
  <c r="Q273" i="27"/>
  <c r="P273" i="27"/>
  <c r="O273" i="27"/>
  <c r="N273" i="27"/>
  <c r="M273" i="27"/>
  <c r="L273" i="27"/>
  <c r="K273" i="27"/>
  <c r="J273" i="27"/>
  <c r="I273" i="27"/>
  <c r="H273" i="27"/>
  <c r="G273" i="27"/>
  <c r="F273" i="27"/>
  <c r="S266" i="27"/>
  <c r="I266" i="27"/>
  <c r="H266" i="27"/>
  <c r="G266" i="27"/>
  <c r="F266" i="27"/>
  <c r="R265" i="27"/>
  <c r="R266" i="27" s="1"/>
  <c r="Q265" i="27"/>
  <c r="Q266" i="27"/>
  <c r="P265" i="27"/>
  <c r="P266" i="27" s="1"/>
  <c r="O265" i="27"/>
  <c r="O266" i="27"/>
  <c r="N265" i="27"/>
  <c r="N266" i="27" s="1"/>
  <c r="M265" i="27"/>
  <c r="M266" i="27"/>
  <c r="L265" i="27"/>
  <c r="L266" i="27" s="1"/>
  <c r="K265" i="27"/>
  <c r="K266" i="27"/>
  <c r="J265" i="27"/>
  <c r="J266" i="27" s="1"/>
  <c r="S261" i="27"/>
  <c r="R261" i="27"/>
  <c r="Q261" i="27"/>
  <c r="P261" i="27"/>
  <c r="O261" i="27"/>
  <c r="N261" i="27"/>
  <c r="M261" i="27"/>
  <c r="L261" i="27"/>
  <c r="K261" i="27"/>
  <c r="J261" i="27"/>
  <c r="I261" i="27"/>
  <c r="H261" i="27"/>
  <c r="G261" i="27"/>
  <c r="F261" i="27"/>
  <c r="S255" i="27"/>
  <c r="R255" i="27"/>
  <c r="Q255" i="27"/>
  <c r="P255" i="27"/>
  <c r="O255" i="27"/>
  <c r="N255" i="27"/>
  <c r="M255" i="27"/>
  <c r="L255" i="27"/>
  <c r="K255" i="27"/>
  <c r="J255" i="27"/>
  <c r="I255" i="27"/>
  <c r="H255" i="27"/>
  <c r="G255" i="27"/>
  <c r="F255" i="27"/>
  <c r="S249" i="27"/>
  <c r="R249" i="27"/>
  <c r="Q249" i="27"/>
  <c r="P249" i="27"/>
  <c r="O249" i="27"/>
  <c r="N249" i="27"/>
  <c r="M249" i="27"/>
  <c r="L249" i="27"/>
  <c r="K249" i="27"/>
  <c r="J249" i="27"/>
  <c r="I249" i="27"/>
  <c r="H249" i="27"/>
  <c r="G249" i="27"/>
  <c r="F249" i="27"/>
  <c r="S243" i="27"/>
  <c r="R243" i="27"/>
  <c r="Q243" i="27"/>
  <c r="P243" i="27"/>
  <c r="O243" i="27"/>
  <c r="N243" i="27"/>
  <c r="M243" i="27"/>
  <c r="L243" i="27"/>
  <c r="K243" i="27"/>
  <c r="J243" i="27"/>
  <c r="I243" i="27"/>
  <c r="H243" i="27"/>
  <c r="G243" i="27"/>
  <c r="F243" i="27"/>
  <c r="S237" i="27"/>
  <c r="R237" i="27"/>
  <c r="Q237" i="27"/>
  <c r="P237" i="27"/>
  <c r="O237" i="27"/>
  <c r="N237" i="27"/>
  <c r="L237" i="27"/>
  <c r="K237" i="27"/>
  <c r="J237" i="27"/>
  <c r="I237" i="27"/>
  <c r="H237" i="27"/>
  <c r="G237" i="27"/>
  <c r="F237" i="27"/>
  <c r="M234" i="27"/>
  <c r="M183" i="16" s="1"/>
  <c r="M237" i="27"/>
  <c r="S221" i="27"/>
  <c r="R221" i="27"/>
  <c r="Q221" i="27"/>
  <c r="P221" i="27"/>
  <c r="O221" i="27"/>
  <c r="N221" i="27"/>
  <c r="M221" i="27"/>
  <c r="L221" i="27"/>
  <c r="K221" i="27"/>
  <c r="J221" i="27"/>
  <c r="I221" i="27"/>
  <c r="H221" i="27"/>
  <c r="G221" i="27"/>
  <c r="F221" i="27"/>
  <c r="S215" i="27"/>
  <c r="R215" i="27"/>
  <c r="Q215" i="27"/>
  <c r="P215" i="27"/>
  <c r="O215" i="27"/>
  <c r="N215" i="27"/>
  <c r="M215" i="27"/>
  <c r="L215" i="27"/>
  <c r="K215" i="27"/>
  <c r="J215" i="27"/>
  <c r="I215" i="27"/>
  <c r="H215" i="27"/>
  <c r="G215" i="27"/>
  <c r="F215" i="27"/>
  <c r="S209" i="27"/>
  <c r="R209" i="27"/>
  <c r="Q209" i="27"/>
  <c r="P209" i="27"/>
  <c r="O209" i="27"/>
  <c r="N209" i="27"/>
  <c r="M209" i="27"/>
  <c r="L209" i="27"/>
  <c r="K209" i="27"/>
  <c r="J209" i="27"/>
  <c r="I209" i="27"/>
  <c r="H209" i="27"/>
  <c r="G209" i="27"/>
  <c r="F209" i="27"/>
  <c r="R201" i="27"/>
  <c r="Q201" i="27"/>
  <c r="P201" i="27"/>
  <c r="O201" i="27"/>
  <c r="N201" i="27"/>
  <c r="M201" i="27"/>
  <c r="L201" i="27"/>
  <c r="K201" i="27"/>
  <c r="J201" i="27"/>
  <c r="I201" i="27"/>
  <c r="H201" i="27"/>
  <c r="G201" i="27"/>
  <c r="F201" i="27"/>
  <c r="R200" i="27"/>
  <c r="Q200" i="27"/>
  <c r="P200" i="27"/>
  <c r="O200" i="27"/>
  <c r="N200" i="27"/>
  <c r="M196" i="27"/>
  <c r="L196" i="27"/>
  <c r="L433" i="25"/>
  <c r="L192" i="27"/>
  <c r="K192" i="27"/>
  <c r="K200" i="27"/>
  <c r="J192" i="27"/>
  <c r="I192" i="27"/>
  <c r="H192" i="27"/>
  <c r="G192" i="27"/>
  <c r="G200" i="27"/>
  <c r="F192" i="27"/>
  <c r="S325" i="27"/>
  <c r="M183" i="27"/>
  <c r="M325" i="27"/>
  <c r="S181" i="27"/>
  <c r="R181" i="27"/>
  <c r="Q181" i="27"/>
  <c r="P181" i="27"/>
  <c r="O181" i="27"/>
  <c r="N181" i="27"/>
  <c r="M181" i="27"/>
  <c r="L181" i="27"/>
  <c r="K181" i="27"/>
  <c r="J181" i="27"/>
  <c r="I181" i="27"/>
  <c r="H181" i="27"/>
  <c r="G181" i="27"/>
  <c r="F181" i="27"/>
  <c r="S152" i="27"/>
  <c r="S161" i="27"/>
  <c r="R152" i="27"/>
  <c r="R161" i="27"/>
  <c r="Q152" i="27"/>
  <c r="Q161" i="27"/>
  <c r="P152" i="27"/>
  <c r="P161" i="27"/>
  <c r="O152" i="27"/>
  <c r="O161" i="27"/>
  <c r="N152" i="27"/>
  <c r="N161" i="27"/>
  <c r="M152" i="27"/>
  <c r="M161" i="27"/>
  <c r="L152" i="27"/>
  <c r="L161" i="27"/>
  <c r="K152" i="27"/>
  <c r="K161" i="27"/>
  <c r="J152" i="27"/>
  <c r="J161" i="27"/>
  <c r="I152" i="27"/>
  <c r="I161" i="27"/>
  <c r="H152" i="27"/>
  <c r="H161" i="27"/>
  <c r="G152" i="27"/>
  <c r="G161" i="27"/>
  <c r="F152" i="27"/>
  <c r="F161" i="27"/>
  <c r="S149" i="27"/>
  <c r="R149" i="27"/>
  <c r="Q149" i="27"/>
  <c r="P149" i="27"/>
  <c r="O149" i="27"/>
  <c r="N149" i="27"/>
  <c r="M149" i="27"/>
  <c r="L149" i="27"/>
  <c r="K149" i="27"/>
  <c r="J149" i="27"/>
  <c r="I149" i="27"/>
  <c r="H149" i="27"/>
  <c r="G149" i="27"/>
  <c r="F149" i="27"/>
  <c r="S145" i="27"/>
  <c r="S146" i="27"/>
  <c r="R145" i="27"/>
  <c r="R146" i="27"/>
  <c r="Q145" i="27"/>
  <c r="Q146" i="27"/>
  <c r="P145" i="27"/>
  <c r="P146" i="27"/>
  <c r="O145" i="27"/>
  <c r="O146" i="27"/>
  <c r="N145" i="27"/>
  <c r="N146" i="27"/>
  <c r="M145" i="27"/>
  <c r="M146" i="27"/>
  <c r="L145" i="27"/>
  <c r="L146" i="27"/>
  <c r="K145" i="27"/>
  <c r="K146" i="27"/>
  <c r="J145" i="27"/>
  <c r="J146" i="27"/>
  <c r="I145" i="27"/>
  <c r="I146" i="27"/>
  <c r="H145" i="27"/>
  <c r="H146" i="27"/>
  <c r="G145" i="27"/>
  <c r="G146" i="27"/>
  <c r="F145" i="27"/>
  <c r="F146" i="27"/>
  <c r="S133" i="27"/>
  <c r="R133" i="27"/>
  <c r="Q133" i="27"/>
  <c r="P133" i="27"/>
  <c r="O133" i="27"/>
  <c r="N133" i="27"/>
  <c r="N135" i="27" s="1"/>
  <c r="M133" i="27"/>
  <c r="L133" i="27"/>
  <c r="K133" i="27"/>
  <c r="J133" i="27"/>
  <c r="J135" i="27" s="1"/>
  <c r="I133" i="27"/>
  <c r="H133" i="27"/>
  <c r="G133" i="27"/>
  <c r="F133" i="27"/>
  <c r="F135" i="27" s="1"/>
  <c r="S125" i="27"/>
  <c r="R125" i="27"/>
  <c r="Q125" i="27"/>
  <c r="P125" i="27"/>
  <c r="O125" i="27"/>
  <c r="N125" i="27"/>
  <c r="M125" i="27"/>
  <c r="L125" i="27"/>
  <c r="K125" i="27"/>
  <c r="J125" i="27"/>
  <c r="I125" i="27"/>
  <c r="H125" i="27"/>
  <c r="G125" i="27"/>
  <c r="G135" i="27" s="1"/>
  <c r="F125" i="27"/>
  <c r="S110" i="27"/>
  <c r="R110" i="27"/>
  <c r="Q110" i="27"/>
  <c r="P110" i="27"/>
  <c r="O110" i="27"/>
  <c r="N110" i="27"/>
  <c r="M110" i="27"/>
  <c r="L110" i="27"/>
  <c r="K110" i="27"/>
  <c r="J110" i="27"/>
  <c r="I110" i="27"/>
  <c r="H110" i="27"/>
  <c r="G110" i="27"/>
  <c r="F110" i="27"/>
  <c r="S103" i="27"/>
  <c r="R103" i="27"/>
  <c r="Q103" i="27"/>
  <c r="P103" i="27"/>
  <c r="O103" i="27"/>
  <c r="N103" i="27"/>
  <c r="M103" i="27"/>
  <c r="L103" i="27"/>
  <c r="K103" i="27"/>
  <c r="J103" i="27"/>
  <c r="I103" i="27"/>
  <c r="H103" i="27"/>
  <c r="G103" i="27"/>
  <c r="F103" i="27"/>
  <c r="G94" i="27"/>
  <c r="S92" i="27"/>
  <c r="R92" i="27"/>
  <c r="Q92" i="27"/>
  <c r="P92" i="27"/>
  <c r="O92" i="27"/>
  <c r="N92" i="27"/>
  <c r="M92" i="27"/>
  <c r="L92" i="27"/>
  <c r="K92" i="27"/>
  <c r="J92" i="27"/>
  <c r="I92" i="27"/>
  <c r="H92" i="27"/>
  <c r="G92" i="27"/>
  <c r="F92" i="27"/>
  <c r="S85" i="27"/>
  <c r="R85" i="27"/>
  <c r="Q85" i="27"/>
  <c r="P85" i="27"/>
  <c r="O85" i="27"/>
  <c r="K85" i="27"/>
  <c r="I85" i="27"/>
  <c r="G85" i="27"/>
  <c r="F85" i="27"/>
  <c r="N85" i="27"/>
  <c r="M84" i="27"/>
  <c r="L84" i="27"/>
  <c r="J84" i="27"/>
  <c r="J85" i="27"/>
  <c r="J93" i="27" s="1"/>
  <c r="H84" i="27"/>
  <c r="S78" i="27"/>
  <c r="R78" i="27"/>
  <c r="Q78" i="27"/>
  <c r="Q79" i="27" s="1"/>
  <c r="P78" i="27"/>
  <c r="O78" i="27"/>
  <c r="N78" i="27"/>
  <c r="M78" i="27"/>
  <c r="M79" i="27" s="1"/>
  <c r="L78" i="27"/>
  <c r="K78" i="27"/>
  <c r="J78" i="27"/>
  <c r="J79" i="27" s="1"/>
  <c r="I78" i="27"/>
  <c r="I79" i="27" s="1"/>
  <c r="I93" i="27" s="1"/>
  <c r="I95" i="27" s="1"/>
  <c r="H78" i="27"/>
  <c r="G78" i="27"/>
  <c r="F78" i="27"/>
  <c r="S74" i="27"/>
  <c r="R74" i="27"/>
  <c r="Q74" i="27"/>
  <c r="P74" i="27"/>
  <c r="O74" i="27"/>
  <c r="N74" i="27"/>
  <c r="M74" i="27"/>
  <c r="L74" i="27"/>
  <c r="K74" i="27"/>
  <c r="J74" i="27"/>
  <c r="I74" i="27"/>
  <c r="H74" i="27"/>
  <c r="G74" i="27"/>
  <c r="F74" i="27"/>
  <c r="S67" i="27"/>
  <c r="R67" i="27"/>
  <c r="Q67" i="27"/>
  <c r="P67" i="27"/>
  <c r="O67" i="27"/>
  <c r="N67" i="27"/>
  <c r="M67" i="27"/>
  <c r="L67" i="27"/>
  <c r="K67" i="27"/>
  <c r="J67" i="27"/>
  <c r="I67" i="27"/>
  <c r="H67" i="27"/>
  <c r="G67" i="27"/>
  <c r="F67" i="27"/>
  <c r="S50" i="27"/>
  <c r="R50" i="27"/>
  <c r="Q50" i="27"/>
  <c r="P50" i="27"/>
  <c r="O50" i="27"/>
  <c r="N50" i="27"/>
  <c r="M50" i="27"/>
  <c r="L50" i="27"/>
  <c r="K50" i="27"/>
  <c r="J50" i="27"/>
  <c r="I50" i="27"/>
  <c r="H50" i="27"/>
  <c r="G50" i="27"/>
  <c r="F50" i="27"/>
  <c r="G30" i="27"/>
  <c r="F30" i="27"/>
  <c r="S29" i="27"/>
  <c r="R29" i="27"/>
  <c r="Q29" i="27"/>
  <c r="P29" i="27"/>
  <c r="O29" i="27"/>
  <c r="N29" i="27"/>
  <c r="M29" i="27"/>
  <c r="L29" i="27"/>
  <c r="K29" i="27"/>
  <c r="J29" i="27"/>
  <c r="I29" i="27"/>
  <c r="H29" i="27"/>
  <c r="G29" i="27"/>
  <c r="F29" i="27"/>
  <c r="S23" i="27"/>
  <c r="R23" i="27"/>
  <c r="Q23" i="27"/>
  <c r="P23" i="27"/>
  <c r="O23" i="27"/>
  <c r="N23" i="27"/>
  <c r="M23" i="27"/>
  <c r="M25" i="27" s="1"/>
  <c r="L23" i="27"/>
  <c r="L25" i="27" s="1"/>
  <c r="K23" i="27"/>
  <c r="J23" i="27"/>
  <c r="I23" i="27"/>
  <c r="H23" i="27"/>
  <c r="G23" i="27"/>
  <c r="F23" i="27"/>
  <c r="S14" i="27"/>
  <c r="S25" i="27" s="1"/>
  <c r="S33" i="27" s="1"/>
  <c r="R14" i="27"/>
  <c r="Q14" i="27"/>
  <c r="P14" i="27"/>
  <c r="O14" i="27"/>
  <c r="N14" i="27"/>
  <c r="M14" i="27"/>
  <c r="L14" i="27"/>
  <c r="K14" i="27"/>
  <c r="K25" i="27" s="1"/>
  <c r="J14" i="27"/>
  <c r="I14" i="27"/>
  <c r="H14" i="27"/>
  <c r="G14" i="27"/>
  <c r="G25" i="27" s="1"/>
  <c r="G33" i="27" s="1"/>
  <c r="F14" i="27"/>
  <c r="K33" i="27"/>
  <c r="G79" i="27"/>
  <c r="G93" i="27" s="1"/>
  <c r="G95" i="27" s="1"/>
  <c r="H110" i="16"/>
  <c r="L147" i="16"/>
  <c r="L148" i="16" s="1"/>
  <c r="F397" i="16"/>
  <c r="J397" i="16"/>
  <c r="J400" i="16" s="1"/>
  <c r="L433" i="16"/>
  <c r="P440" i="16"/>
  <c r="J110" i="25"/>
  <c r="F235" i="25"/>
  <c r="N235" i="25"/>
  <c r="R235" i="25"/>
  <c r="H251" i="25"/>
  <c r="P251" i="25"/>
  <c r="F282" i="25"/>
  <c r="J282" i="25"/>
  <c r="R282" i="25"/>
  <c r="L305" i="25"/>
  <c r="L306" i="25"/>
  <c r="G358" i="25"/>
  <c r="K358" i="25"/>
  <c r="O358" i="25"/>
  <c r="S358" i="25"/>
  <c r="K397" i="25"/>
  <c r="K400" i="25" s="1"/>
  <c r="M440" i="25"/>
  <c r="Q440" i="25"/>
  <c r="M452" i="25"/>
  <c r="H25" i="27"/>
  <c r="H33" i="27" s="1"/>
  <c r="L33" i="27"/>
  <c r="H79" i="27"/>
  <c r="L79" i="27"/>
  <c r="K135" i="27"/>
  <c r="M387" i="27"/>
  <c r="F375" i="16"/>
  <c r="F376" i="16"/>
  <c r="K397" i="16"/>
  <c r="M440" i="16"/>
  <c r="Q440" i="16"/>
  <c r="M452" i="16"/>
  <c r="L466" i="16"/>
  <c r="F475" i="16"/>
  <c r="J475" i="16"/>
  <c r="M183" i="25"/>
  <c r="M184" i="25" s="1"/>
  <c r="M189" i="25" s="1"/>
  <c r="M190" i="25" s="1"/>
  <c r="G235" i="25"/>
  <c r="K235" i="25"/>
  <c r="O235" i="25"/>
  <c r="S235" i="25"/>
  <c r="S236" i="25" s="1"/>
  <c r="S239" i="25" s="1"/>
  <c r="I251" i="25"/>
  <c r="M251" i="25"/>
  <c r="Q251" i="25"/>
  <c r="G282" i="25"/>
  <c r="G283" i="25" s="1"/>
  <c r="K282" i="25"/>
  <c r="O282" i="25"/>
  <c r="S282" i="25"/>
  <c r="M305" i="25"/>
  <c r="H358" i="25"/>
  <c r="P358" i="25"/>
  <c r="F449" i="25"/>
  <c r="L466" i="25"/>
  <c r="F475" i="25"/>
  <c r="J475" i="25"/>
  <c r="I25" i="27"/>
  <c r="I33" i="27" s="1"/>
  <c r="M33" i="27"/>
  <c r="J110" i="16"/>
  <c r="H148" i="16"/>
  <c r="H152" i="16" s="1"/>
  <c r="P148" i="16"/>
  <c r="S235" i="16"/>
  <c r="I251" i="16"/>
  <c r="M251" i="16"/>
  <c r="G282" i="16"/>
  <c r="K282" i="16"/>
  <c r="O282" i="16"/>
  <c r="H358" i="16"/>
  <c r="L358" i="16"/>
  <c r="P358" i="16"/>
  <c r="L397" i="16"/>
  <c r="J440" i="16"/>
  <c r="N440" i="16"/>
  <c r="F449" i="16"/>
  <c r="M466" i="16"/>
  <c r="G475" i="16"/>
  <c r="K475" i="16"/>
  <c r="F148" i="25"/>
  <c r="J148" i="25"/>
  <c r="J152" i="25" s="1"/>
  <c r="R148" i="25"/>
  <c r="K440" i="25"/>
  <c r="O440" i="25"/>
  <c r="M466" i="25"/>
  <c r="M468" i="25" s="1"/>
  <c r="F25" i="27"/>
  <c r="J25" i="27"/>
  <c r="J33" i="27" s="1"/>
  <c r="F79" i="27"/>
  <c r="I135" i="27"/>
  <c r="M135" i="27"/>
  <c r="M148" i="16"/>
  <c r="M152" i="16" s="1"/>
  <c r="Q148" i="16"/>
  <c r="Q152" i="16" s="1"/>
  <c r="H235" i="16"/>
  <c r="L235" i="16"/>
  <c r="P235" i="16"/>
  <c r="J251" i="16"/>
  <c r="R251" i="16"/>
  <c r="H282" i="16"/>
  <c r="L282" i="16"/>
  <c r="P282" i="16"/>
  <c r="I358" i="16"/>
  <c r="M358" i="16"/>
  <c r="Q358" i="16"/>
  <c r="O440" i="16"/>
  <c r="G449" i="16"/>
  <c r="N466" i="16"/>
  <c r="H475" i="16"/>
  <c r="L475" i="16"/>
  <c r="G148" i="25"/>
  <c r="K148" i="25"/>
  <c r="O148" i="25"/>
  <c r="O152" i="25" s="1"/>
  <c r="S148" i="25"/>
  <c r="S152" i="25" s="1"/>
  <c r="L440" i="25"/>
  <c r="P440" i="25"/>
  <c r="N466" i="25"/>
  <c r="H475" i="25"/>
  <c r="L475" i="25"/>
  <c r="O135" i="27"/>
  <c r="Q135" i="27"/>
  <c r="S135" i="27"/>
  <c r="P135" i="27"/>
  <c r="R135" i="27"/>
  <c r="N79" i="27"/>
  <c r="N93" i="27" s="1"/>
  <c r="P79" i="27"/>
  <c r="R79" i="27"/>
  <c r="O79" i="27"/>
  <c r="N25" i="27"/>
  <c r="N33" i="27"/>
  <c r="P25" i="27"/>
  <c r="P33" i="27" s="1"/>
  <c r="R25" i="27"/>
  <c r="R33" i="27" s="1"/>
  <c r="O25" i="27"/>
  <c r="O33" i="27" s="1"/>
  <c r="Q25" i="27"/>
  <c r="Q33" i="27" s="1"/>
  <c r="F152" i="25"/>
  <c r="H152" i="25"/>
  <c r="P152" i="25"/>
  <c r="R152" i="25"/>
  <c r="G152" i="25"/>
  <c r="I152" i="25"/>
  <c r="K152" i="25"/>
  <c r="M152" i="25"/>
  <c r="Q152" i="25"/>
  <c r="G152" i="16"/>
  <c r="K152" i="16"/>
  <c r="O152" i="16"/>
  <c r="S152" i="16"/>
  <c r="F152" i="16"/>
  <c r="J152" i="16"/>
  <c r="L152" i="16"/>
  <c r="P152" i="16"/>
  <c r="F93" i="27"/>
  <c r="H97" i="27"/>
  <c r="H111" i="27" s="1"/>
  <c r="J97" i="27"/>
  <c r="J111" i="27" s="1"/>
  <c r="J95" i="27"/>
  <c r="J86" i="27"/>
  <c r="L97" i="27"/>
  <c r="N95" i="27"/>
  <c r="P97" i="27"/>
  <c r="P111" i="27" s="1"/>
  <c r="P93" i="27"/>
  <c r="P95" i="27" s="1"/>
  <c r="P86" i="27"/>
  <c r="G360" i="27"/>
  <c r="G378" i="27"/>
  <c r="H374" i="27"/>
  <c r="G97" i="27"/>
  <c r="G111" i="27" s="1"/>
  <c r="G86" i="27"/>
  <c r="I97" i="27"/>
  <c r="I111" i="27" s="1"/>
  <c r="I86" i="27"/>
  <c r="O93" i="27"/>
  <c r="O95" i="27" s="1"/>
  <c r="Q97" i="27"/>
  <c r="Q111" i="27"/>
  <c r="Q86" i="27"/>
  <c r="F154" i="27"/>
  <c r="H154" i="27"/>
  <c r="J154" i="27"/>
  <c r="L154" i="27"/>
  <c r="N154" i="27"/>
  <c r="P154" i="27"/>
  <c r="R154" i="27"/>
  <c r="F158" i="27"/>
  <c r="H158" i="27"/>
  <c r="J158" i="27"/>
  <c r="L158" i="27"/>
  <c r="N158" i="27"/>
  <c r="P158" i="27"/>
  <c r="R158" i="27"/>
  <c r="M200" i="27"/>
  <c r="S200" i="27"/>
  <c r="S201" i="27"/>
  <c r="F325" i="27"/>
  <c r="G332" i="27"/>
  <c r="I332" i="27"/>
  <c r="G340" i="27"/>
  <c r="G341" i="27" s="1"/>
  <c r="F360" i="27"/>
  <c r="F378" i="27"/>
  <c r="F408" i="27"/>
  <c r="G154" i="27"/>
  <c r="I154" i="27"/>
  <c r="K154" i="27"/>
  <c r="M154" i="27"/>
  <c r="O154" i="27"/>
  <c r="Q154" i="27"/>
  <c r="S154" i="27"/>
  <c r="G158" i="27"/>
  <c r="I158" i="27"/>
  <c r="K158" i="27"/>
  <c r="M158" i="27"/>
  <c r="O158" i="27"/>
  <c r="Q158" i="27"/>
  <c r="S158" i="27"/>
  <c r="H340" i="27"/>
  <c r="G319" i="27"/>
  <c r="I374" i="27"/>
  <c r="H378" i="27"/>
  <c r="I353" i="27"/>
  <c r="H360" i="27"/>
  <c r="S199" i="25"/>
  <c r="R199" i="25"/>
  <c r="Q199" i="25"/>
  <c r="P199" i="25"/>
  <c r="O199" i="25"/>
  <c r="N199" i="25"/>
  <c r="M199" i="25"/>
  <c r="L199" i="25"/>
  <c r="K199" i="25"/>
  <c r="J199" i="25"/>
  <c r="I199" i="25"/>
  <c r="H199" i="25"/>
  <c r="G199" i="25"/>
  <c r="F199" i="25"/>
  <c r="S198" i="25"/>
  <c r="R198" i="25"/>
  <c r="Q198" i="25"/>
  <c r="P198" i="25"/>
  <c r="O198" i="25"/>
  <c r="N198" i="25"/>
  <c r="M198" i="25"/>
  <c r="L198" i="25"/>
  <c r="K198" i="25"/>
  <c r="J198" i="25"/>
  <c r="I198" i="25"/>
  <c r="H198" i="25"/>
  <c r="G198" i="25"/>
  <c r="F198" i="25"/>
  <c r="S197" i="25"/>
  <c r="R197" i="25"/>
  <c r="Q197" i="25"/>
  <c r="P197" i="25"/>
  <c r="O197" i="25"/>
  <c r="N197" i="25"/>
  <c r="M197" i="25"/>
  <c r="L197" i="25"/>
  <c r="K197" i="25"/>
  <c r="J197" i="25"/>
  <c r="I197" i="25"/>
  <c r="H197" i="25"/>
  <c r="G197" i="25"/>
  <c r="F197" i="25"/>
  <c r="S35" i="25"/>
  <c r="R35" i="25"/>
  <c r="Q35" i="25"/>
  <c r="P35" i="25"/>
  <c r="P36" i="25" s="1"/>
  <c r="O35" i="25"/>
  <c r="N35" i="25"/>
  <c r="M35" i="25"/>
  <c r="L35" i="25"/>
  <c r="M36" i="25" s="1"/>
  <c r="K35" i="25"/>
  <c r="J35" i="25"/>
  <c r="I35" i="25"/>
  <c r="H35" i="25"/>
  <c r="H36" i="25" s="1"/>
  <c r="G35" i="25"/>
  <c r="F35" i="25"/>
  <c r="S33" i="25"/>
  <c r="R33" i="25"/>
  <c r="Q33" i="25"/>
  <c r="P33" i="25"/>
  <c r="O33" i="25"/>
  <c r="N33" i="25"/>
  <c r="M33" i="25"/>
  <c r="L33" i="25"/>
  <c r="K33" i="25"/>
  <c r="J33" i="25"/>
  <c r="I33" i="25"/>
  <c r="H33" i="25"/>
  <c r="G33" i="25"/>
  <c r="F33" i="25"/>
  <c r="S32" i="25"/>
  <c r="R32" i="25"/>
  <c r="Q32" i="25"/>
  <c r="P32" i="25"/>
  <c r="O32" i="25"/>
  <c r="N32" i="25"/>
  <c r="M32" i="25"/>
  <c r="L32" i="25"/>
  <c r="K32" i="25"/>
  <c r="J32" i="25"/>
  <c r="I32" i="25"/>
  <c r="H32" i="25"/>
  <c r="G32" i="25"/>
  <c r="F32" i="25"/>
  <c r="S31" i="25"/>
  <c r="R31" i="25"/>
  <c r="R143" i="25" s="1"/>
  <c r="Q31" i="25"/>
  <c r="P31" i="25"/>
  <c r="O31" i="25"/>
  <c r="N31" i="25"/>
  <c r="M31" i="25"/>
  <c r="L31" i="25"/>
  <c r="K31" i="25"/>
  <c r="J31" i="25"/>
  <c r="J143" i="25" s="1"/>
  <c r="I31" i="25"/>
  <c r="H31" i="25"/>
  <c r="G31" i="25"/>
  <c r="F31" i="25"/>
  <c r="S29" i="25"/>
  <c r="R29" i="25"/>
  <c r="Q29" i="25"/>
  <c r="P29" i="25"/>
  <c r="Q30" i="25" s="1"/>
  <c r="O29" i="25"/>
  <c r="N29" i="25"/>
  <c r="M29" i="25"/>
  <c r="L29" i="25"/>
  <c r="L30" i="25" s="1"/>
  <c r="K29" i="25"/>
  <c r="J29" i="25"/>
  <c r="I29" i="25"/>
  <c r="H29" i="25"/>
  <c r="I30" i="25" s="1"/>
  <c r="G29" i="25"/>
  <c r="F29" i="25"/>
  <c r="S27" i="25"/>
  <c r="R27" i="25"/>
  <c r="Q27" i="25"/>
  <c r="P27" i="25"/>
  <c r="O27" i="25"/>
  <c r="N27" i="25"/>
  <c r="M27" i="25"/>
  <c r="L27" i="25"/>
  <c r="K27" i="25"/>
  <c r="J27" i="25"/>
  <c r="I27" i="25"/>
  <c r="H27" i="25"/>
  <c r="G27" i="25"/>
  <c r="F27" i="25"/>
  <c r="S25" i="25"/>
  <c r="R25" i="25"/>
  <c r="Q25" i="25"/>
  <c r="P25" i="25"/>
  <c r="O25" i="25"/>
  <c r="N25" i="25"/>
  <c r="M25" i="25"/>
  <c r="L25" i="25"/>
  <c r="K25" i="25"/>
  <c r="J25" i="25"/>
  <c r="I25" i="25"/>
  <c r="H25" i="25"/>
  <c r="G25" i="25"/>
  <c r="F25" i="25"/>
  <c r="S23" i="25"/>
  <c r="R23" i="25"/>
  <c r="S24" i="25" s="1"/>
  <c r="Q23" i="25"/>
  <c r="P23" i="25"/>
  <c r="O23" i="25"/>
  <c r="N23" i="25"/>
  <c r="N24" i="25" s="1"/>
  <c r="M23" i="25"/>
  <c r="L23" i="25"/>
  <c r="K23" i="25"/>
  <c r="J23" i="25"/>
  <c r="K24" i="25" s="1"/>
  <c r="I23" i="25"/>
  <c r="H23" i="25"/>
  <c r="G23" i="25"/>
  <c r="F23" i="25"/>
  <c r="S20" i="25"/>
  <c r="R20" i="25"/>
  <c r="Q20" i="25"/>
  <c r="P20" i="25"/>
  <c r="O20" i="25"/>
  <c r="N20" i="25"/>
  <c r="M20" i="25"/>
  <c r="L20" i="25"/>
  <c r="K20" i="25"/>
  <c r="J20" i="25"/>
  <c r="I20" i="25"/>
  <c r="H20" i="25"/>
  <c r="G20" i="25"/>
  <c r="F20" i="25"/>
  <c r="S17" i="25"/>
  <c r="R17" i="25"/>
  <c r="S18" i="25" s="1"/>
  <c r="Q17" i="25"/>
  <c r="P17" i="25"/>
  <c r="O17" i="25"/>
  <c r="N17" i="25"/>
  <c r="M17" i="25"/>
  <c r="L17" i="25"/>
  <c r="K17" i="25"/>
  <c r="J17" i="25"/>
  <c r="I17" i="25"/>
  <c r="H17" i="25"/>
  <c r="G17" i="25"/>
  <c r="F17" i="25"/>
  <c r="S15" i="25"/>
  <c r="R15" i="25"/>
  <c r="Q15" i="25"/>
  <c r="P15" i="25"/>
  <c r="O15" i="25"/>
  <c r="N15" i="25"/>
  <c r="M15" i="25"/>
  <c r="L15" i="25"/>
  <c r="L16" i="25" s="1"/>
  <c r="K15" i="25"/>
  <c r="J15" i="25"/>
  <c r="I15" i="25"/>
  <c r="H15" i="25"/>
  <c r="G15" i="25"/>
  <c r="F15" i="25"/>
  <c r="S11" i="25"/>
  <c r="R11" i="25"/>
  <c r="Q11" i="25"/>
  <c r="P11" i="25"/>
  <c r="O11" i="25"/>
  <c r="N11" i="25"/>
  <c r="M11" i="25"/>
  <c r="L11" i="25"/>
  <c r="K11" i="25"/>
  <c r="J11" i="25"/>
  <c r="I11" i="25"/>
  <c r="H11" i="25"/>
  <c r="G11" i="25"/>
  <c r="F11" i="25"/>
  <c r="F13" i="25" s="1"/>
  <c r="S9" i="25"/>
  <c r="R9" i="25"/>
  <c r="Q9" i="25"/>
  <c r="P9" i="25"/>
  <c r="O9" i="25"/>
  <c r="N9" i="25"/>
  <c r="M9" i="25"/>
  <c r="L9" i="25"/>
  <c r="M10" i="25" s="1"/>
  <c r="K9" i="25"/>
  <c r="J9" i="25"/>
  <c r="I9" i="25"/>
  <c r="H9" i="25"/>
  <c r="H10" i="25" s="1"/>
  <c r="G9" i="25"/>
  <c r="F9" i="25"/>
  <c r="H341" i="27"/>
  <c r="H319" i="27"/>
  <c r="I340" i="27"/>
  <c r="I360" i="27"/>
  <c r="J353" i="27"/>
  <c r="K353" i="27" s="1"/>
  <c r="I378" i="27"/>
  <c r="J374" i="27"/>
  <c r="C40" i="26"/>
  <c r="C39" i="26"/>
  <c r="C38" i="26"/>
  <c r="D37" i="26"/>
  <c r="D38" i="26" s="1"/>
  <c r="D39" i="26" s="1"/>
  <c r="C37" i="26"/>
  <c r="A33" i="26"/>
  <c r="A32" i="26"/>
  <c r="A31" i="26"/>
  <c r="D30" i="26"/>
  <c r="B37" i="26" s="1"/>
  <c r="A38" i="26" s="1"/>
  <c r="B499" i="25"/>
  <c r="B485" i="25"/>
  <c r="B479" i="25"/>
  <c r="B475" i="25"/>
  <c r="B473" i="25"/>
  <c r="B471" i="25"/>
  <c r="B466" i="25"/>
  <c r="B465" i="25"/>
  <c r="B464" i="25"/>
  <c r="B462" i="25"/>
  <c r="B461" i="25"/>
  <c r="B460" i="25"/>
  <c r="B459" i="25"/>
  <c r="B458" i="25"/>
  <c r="B457" i="25"/>
  <c r="B456" i="25"/>
  <c r="B453" i="25"/>
  <c r="B452" i="25"/>
  <c r="B449" i="25"/>
  <c r="B448" i="25"/>
  <c r="B445" i="25"/>
  <c r="B444" i="25"/>
  <c r="B440" i="25"/>
  <c r="B439" i="25"/>
  <c r="B438" i="25"/>
  <c r="B437" i="25"/>
  <c r="B434" i="25"/>
  <c r="B433" i="25"/>
  <c r="B431" i="25"/>
  <c r="B429" i="25"/>
  <c r="B428" i="25"/>
  <c r="B424" i="25"/>
  <c r="B421" i="25"/>
  <c r="B420" i="25"/>
  <c r="R422" i="25"/>
  <c r="Q422" i="25"/>
  <c r="P422" i="25"/>
  <c r="O422" i="25"/>
  <c r="N422" i="25"/>
  <c r="M422" i="25"/>
  <c r="L422" i="25"/>
  <c r="K422" i="25"/>
  <c r="J422" i="25"/>
  <c r="I422" i="25"/>
  <c r="H422" i="25"/>
  <c r="G422" i="25"/>
  <c r="F422" i="25"/>
  <c r="B419" i="25"/>
  <c r="B416" i="25"/>
  <c r="B415" i="25"/>
  <c r="B413" i="25"/>
  <c r="B412" i="25"/>
  <c r="B411" i="25"/>
  <c r="B406" i="25"/>
  <c r="B405" i="25"/>
  <c r="B404" i="25"/>
  <c r="B401" i="25"/>
  <c r="B400" i="25"/>
  <c r="B398" i="25"/>
  <c r="B397" i="25"/>
  <c r="B394" i="25"/>
  <c r="B393" i="25"/>
  <c r="AC392" i="25"/>
  <c r="AB392" i="25"/>
  <c r="AA392" i="25"/>
  <c r="Z392" i="25"/>
  <c r="Y392" i="25"/>
  <c r="X392" i="25"/>
  <c r="W392" i="25"/>
  <c r="V392" i="25"/>
  <c r="U392" i="25"/>
  <c r="T392" i="25"/>
  <c r="B392" i="25"/>
  <c r="AC391" i="25"/>
  <c r="AB391" i="25"/>
  <c r="AA391" i="25"/>
  <c r="Z391" i="25"/>
  <c r="Y391" i="25"/>
  <c r="X391" i="25"/>
  <c r="W391" i="25"/>
  <c r="V391" i="25"/>
  <c r="U391" i="25"/>
  <c r="T391" i="25"/>
  <c r="B391" i="25"/>
  <c r="AC390" i="25"/>
  <c r="AB390" i="25"/>
  <c r="AA390" i="25"/>
  <c r="Z390" i="25"/>
  <c r="Y390" i="25"/>
  <c r="X390" i="25"/>
  <c r="W390" i="25"/>
  <c r="V390" i="25"/>
  <c r="U390" i="25"/>
  <c r="T390" i="25"/>
  <c r="B390" i="25"/>
  <c r="AC389" i="25"/>
  <c r="AB389" i="25"/>
  <c r="AA389" i="25"/>
  <c r="Z389" i="25"/>
  <c r="Y389" i="25"/>
  <c r="X389" i="25"/>
  <c r="W389" i="25"/>
  <c r="V389" i="25"/>
  <c r="U389" i="25"/>
  <c r="T389" i="25"/>
  <c r="F395" i="25"/>
  <c r="B389" i="25"/>
  <c r="B385" i="25"/>
  <c r="B384" i="25"/>
  <c r="B380" i="25"/>
  <c r="B376" i="25"/>
  <c r="B375" i="25"/>
  <c r="B372" i="25"/>
  <c r="B371" i="25"/>
  <c r="B370" i="25"/>
  <c r="B367" i="25"/>
  <c r="AC366" i="25"/>
  <c r="AC467" i="25" s="1"/>
  <c r="AB366" i="25"/>
  <c r="AB467" i="25" s="1"/>
  <c r="AA366" i="25"/>
  <c r="AA467" i="25" s="1"/>
  <c r="Z366" i="25"/>
  <c r="Z467" i="25" s="1"/>
  <c r="Y366" i="25"/>
  <c r="Y467" i="25" s="1"/>
  <c r="X366" i="25"/>
  <c r="X467" i="25" s="1"/>
  <c r="W366" i="25"/>
  <c r="W467" i="25"/>
  <c r="V366" i="25"/>
  <c r="V467" i="25" s="1"/>
  <c r="U366" i="25"/>
  <c r="U467" i="25" s="1"/>
  <c r="T366" i="25"/>
  <c r="T467" i="25" s="1"/>
  <c r="S467" i="25"/>
  <c r="S468" i="25" s="1"/>
  <c r="R467" i="25"/>
  <c r="Q467" i="25"/>
  <c r="P467" i="25"/>
  <c r="O467" i="25"/>
  <c r="O468" i="25" s="1"/>
  <c r="N467" i="25"/>
  <c r="M467" i="25"/>
  <c r="L467" i="25"/>
  <c r="K467" i="25"/>
  <c r="K468" i="25" s="1"/>
  <c r="J467" i="25"/>
  <c r="I467" i="25"/>
  <c r="H467" i="25"/>
  <c r="G467" i="25"/>
  <c r="G468" i="25" s="1"/>
  <c r="F467" i="25"/>
  <c r="B366" i="25"/>
  <c r="B365" i="25"/>
  <c r="B364" i="25"/>
  <c r="AC363" i="25"/>
  <c r="AB363" i="25"/>
  <c r="AA363" i="25"/>
  <c r="Z363" i="25"/>
  <c r="Y363" i="25"/>
  <c r="X363" i="25"/>
  <c r="W363" i="25"/>
  <c r="V363" i="25"/>
  <c r="U363" i="25"/>
  <c r="T363" i="25"/>
  <c r="B363" i="25"/>
  <c r="F368" i="25"/>
  <c r="G368" i="25" s="1"/>
  <c r="H368" i="25" s="1"/>
  <c r="I368" i="25" s="1"/>
  <c r="J368" i="25" s="1"/>
  <c r="K368" i="25" s="1"/>
  <c r="L368" i="25" s="1"/>
  <c r="M368" i="25" s="1"/>
  <c r="N368" i="25"/>
  <c r="O368" i="25" s="1"/>
  <c r="P368" i="25" s="1"/>
  <c r="Q368" i="25" s="1"/>
  <c r="R368" i="25" s="1"/>
  <c r="S368" i="25" s="1"/>
  <c r="B362" i="25"/>
  <c r="B358" i="25"/>
  <c r="B357" i="25"/>
  <c r="B356" i="25"/>
  <c r="B355" i="25"/>
  <c r="B352" i="25"/>
  <c r="B350" i="25"/>
  <c r="B349" i="25"/>
  <c r="B346" i="25"/>
  <c r="B343" i="25"/>
  <c r="B341" i="25"/>
  <c r="B340" i="25"/>
  <c r="B338" i="25"/>
  <c r="B336" i="25"/>
  <c r="T335" i="25"/>
  <c r="U335" i="25" s="1"/>
  <c r="V335" i="25" s="1"/>
  <c r="W335" i="25" s="1"/>
  <c r="X335" i="25"/>
  <c r="Y335" i="25" s="1"/>
  <c r="Z335" i="25" s="1"/>
  <c r="AA335" i="25" s="1"/>
  <c r="AB335" i="25" s="1"/>
  <c r="AC335" i="25" s="1"/>
  <c r="B335" i="25"/>
  <c r="S337" i="25"/>
  <c r="Q337" i="25"/>
  <c r="O337" i="25"/>
  <c r="M337" i="25"/>
  <c r="K337" i="25"/>
  <c r="I337" i="25"/>
  <c r="G337" i="25"/>
  <c r="B334" i="25"/>
  <c r="B330" i="25"/>
  <c r="B329" i="25"/>
  <c r="T328" i="25"/>
  <c r="U328" i="25" s="1"/>
  <c r="V328" i="25" s="1"/>
  <c r="W328" i="25"/>
  <c r="X328" i="25" s="1"/>
  <c r="Y328" i="25" s="1"/>
  <c r="Z328" i="25" s="1"/>
  <c r="AA328" i="25" s="1"/>
  <c r="AB328" i="25" s="1"/>
  <c r="AC328" i="25" s="1"/>
  <c r="B328" i="25"/>
  <c r="S331" i="25"/>
  <c r="Q331" i="25"/>
  <c r="O331" i="25"/>
  <c r="M331" i="25"/>
  <c r="K331" i="25"/>
  <c r="I331" i="25"/>
  <c r="G331" i="25"/>
  <c r="B327" i="25"/>
  <c r="B324" i="25"/>
  <c r="Q468" i="25"/>
  <c r="I468" i="25"/>
  <c r="B323" i="25"/>
  <c r="B322" i="25"/>
  <c r="E320" i="25"/>
  <c r="F320" i="25" s="1"/>
  <c r="G320" i="25"/>
  <c r="G321" i="25" s="1"/>
  <c r="H320" i="25"/>
  <c r="B319" i="25"/>
  <c r="B318" i="25"/>
  <c r="B317" i="25"/>
  <c r="B316" i="25"/>
  <c r="B315" i="25"/>
  <c r="B314" i="25"/>
  <c r="B311" i="25"/>
  <c r="B310" i="25"/>
  <c r="B308" i="25"/>
  <c r="B306" i="25"/>
  <c r="S307" i="25"/>
  <c r="Q307" i="25"/>
  <c r="O307" i="25"/>
  <c r="K307" i="25"/>
  <c r="I307" i="25"/>
  <c r="G307" i="25"/>
  <c r="B305" i="25"/>
  <c r="B302" i="25"/>
  <c r="T301" i="25"/>
  <c r="B301" i="25"/>
  <c r="B299" i="25"/>
  <c r="T298" i="25"/>
  <c r="B298" i="25"/>
  <c r="B296" i="25"/>
  <c r="T295" i="25"/>
  <c r="B295" i="25"/>
  <c r="B293" i="25"/>
  <c r="B292" i="25"/>
  <c r="B291" i="25"/>
  <c r="B289" i="25"/>
  <c r="B287" i="25"/>
  <c r="B282" i="25"/>
  <c r="B281" i="25"/>
  <c r="B280" i="25"/>
  <c r="B279" i="25"/>
  <c r="B276" i="25"/>
  <c r="T275" i="25"/>
  <c r="U275" i="25" s="1"/>
  <c r="V275" i="25" s="1"/>
  <c r="B275" i="25"/>
  <c r="B273" i="25"/>
  <c r="T272" i="25"/>
  <c r="U272" i="25" s="1"/>
  <c r="V272" i="25" s="1"/>
  <c r="W272" i="25" s="1"/>
  <c r="B272" i="25"/>
  <c r="B270" i="25"/>
  <c r="B268" i="25"/>
  <c r="S267" i="25"/>
  <c r="R267" i="25"/>
  <c r="R268" i="25" s="1"/>
  <c r="Q267" i="25"/>
  <c r="P267" i="25"/>
  <c r="O267" i="25"/>
  <c r="N267" i="25"/>
  <c r="M267" i="25"/>
  <c r="M268" i="25" s="1"/>
  <c r="L267" i="25"/>
  <c r="K267" i="25"/>
  <c r="J267" i="25"/>
  <c r="I267" i="25"/>
  <c r="H267" i="25"/>
  <c r="G267" i="25"/>
  <c r="F267" i="25"/>
  <c r="S266" i="25"/>
  <c r="S268" i="25" s="1"/>
  <c r="T268" i="25" s="1"/>
  <c r="R266" i="25"/>
  <c r="Q266" i="25"/>
  <c r="P266" i="25"/>
  <c r="O266" i="25"/>
  <c r="N266" i="25"/>
  <c r="M266" i="25"/>
  <c r="L266" i="25"/>
  <c r="K266" i="25"/>
  <c r="J266" i="25"/>
  <c r="I266" i="25"/>
  <c r="H266" i="25"/>
  <c r="H268" i="25" s="1"/>
  <c r="G266" i="25"/>
  <c r="F266" i="25"/>
  <c r="B261" i="25"/>
  <c r="B260" i="25"/>
  <c r="B259" i="25"/>
  <c r="B257" i="25"/>
  <c r="S256" i="25"/>
  <c r="R256" i="25"/>
  <c r="Q256" i="25"/>
  <c r="P256" i="25"/>
  <c r="O256" i="25"/>
  <c r="N256" i="25"/>
  <c r="M256" i="25"/>
  <c r="L256" i="25"/>
  <c r="K256" i="25"/>
  <c r="J256" i="25"/>
  <c r="I256" i="25"/>
  <c r="H256" i="25"/>
  <c r="G256" i="25"/>
  <c r="F256" i="25"/>
  <c r="B251" i="25"/>
  <c r="B250" i="25"/>
  <c r="T249" i="25"/>
  <c r="B249" i="25"/>
  <c r="T246" i="25"/>
  <c r="B246" i="25"/>
  <c r="T245" i="25"/>
  <c r="U245" i="25"/>
  <c r="V245" i="25" s="1"/>
  <c r="W245" i="25" s="1"/>
  <c r="X245" i="25" s="1"/>
  <c r="Y245" i="25" s="1"/>
  <c r="Z245" i="25" s="1"/>
  <c r="AA245" i="25" s="1"/>
  <c r="AB245" i="25" s="1"/>
  <c r="AC245" i="25" s="1"/>
  <c r="B245" i="25"/>
  <c r="B243" i="25"/>
  <c r="B241" i="25"/>
  <c r="B238" i="25"/>
  <c r="T237" i="25"/>
  <c r="U237" i="25" s="1"/>
  <c r="B237" i="25"/>
  <c r="B235" i="25"/>
  <c r="B234" i="25"/>
  <c r="B233" i="25"/>
  <c r="B232" i="25"/>
  <c r="B226" i="25"/>
  <c r="B225" i="25"/>
  <c r="B224" i="25"/>
  <c r="B223" i="25"/>
  <c r="B219" i="25"/>
  <c r="B218" i="25"/>
  <c r="B217" i="25"/>
  <c r="S220" i="25"/>
  <c r="Q220" i="25"/>
  <c r="O220" i="25"/>
  <c r="O42" i="25" s="1"/>
  <c r="M220" i="25"/>
  <c r="K220" i="25"/>
  <c r="I220" i="25"/>
  <c r="G220" i="25"/>
  <c r="B216" i="25"/>
  <c r="B212" i="25"/>
  <c r="B211" i="25"/>
  <c r="B210" i="25"/>
  <c r="S213" i="25"/>
  <c r="Q213" i="25"/>
  <c r="O213" i="25"/>
  <c r="O123" i="25" s="1"/>
  <c r="M213" i="25"/>
  <c r="K213" i="25"/>
  <c r="I213" i="25"/>
  <c r="G213" i="25"/>
  <c r="G123" i="25" s="1"/>
  <c r="B209" i="25"/>
  <c r="B205" i="25"/>
  <c r="B204" i="25"/>
  <c r="B203" i="25"/>
  <c r="S206" i="25"/>
  <c r="Q206" i="25"/>
  <c r="O206" i="25"/>
  <c r="M206" i="25"/>
  <c r="K206" i="25"/>
  <c r="K42" i="25" s="1"/>
  <c r="I206" i="25"/>
  <c r="G206" i="25"/>
  <c r="B202" i="25"/>
  <c r="B199" i="25"/>
  <c r="B198" i="25"/>
  <c r="B197" i="25"/>
  <c r="B193" i="25"/>
  <c r="T192" i="25"/>
  <c r="U192" i="25" s="1"/>
  <c r="V192" i="25" s="1"/>
  <c r="W192" i="25" s="1"/>
  <c r="X192" i="25" s="1"/>
  <c r="Y192" i="25" s="1"/>
  <c r="Z192" i="25" s="1"/>
  <c r="AA192" i="25" s="1"/>
  <c r="AB192" i="25"/>
  <c r="AC192" i="25" s="1"/>
  <c r="B192" i="25"/>
  <c r="B190" i="25"/>
  <c r="B188" i="25"/>
  <c r="S265" i="25"/>
  <c r="R265" i="25"/>
  <c r="Q265" i="25"/>
  <c r="P265" i="25"/>
  <c r="O265" i="25"/>
  <c r="N265" i="25"/>
  <c r="M265" i="25"/>
  <c r="L265" i="25"/>
  <c r="K265" i="25"/>
  <c r="J265" i="25"/>
  <c r="I265" i="25"/>
  <c r="H265" i="25"/>
  <c r="G265" i="25"/>
  <c r="G268" i="25" s="1"/>
  <c r="F265" i="25"/>
  <c r="B186" i="25"/>
  <c r="U185" i="25"/>
  <c r="U286" i="25" s="1"/>
  <c r="T185" i="25"/>
  <c r="T286" i="25"/>
  <c r="S286" i="25"/>
  <c r="S287" i="25" s="1"/>
  <c r="R286" i="25"/>
  <c r="R287" i="25"/>
  <c r="Q286" i="25"/>
  <c r="Q287" i="25" s="1"/>
  <c r="Q288" i="25" s="1"/>
  <c r="P286" i="25"/>
  <c r="P287" i="25"/>
  <c r="O286" i="25"/>
  <c r="O287" i="25" s="1"/>
  <c r="O288" i="25" s="1"/>
  <c r="N286" i="25"/>
  <c r="N287" i="25"/>
  <c r="M286" i="25"/>
  <c r="M287" i="25" s="1"/>
  <c r="L286" i="25"/>
  <c r="L287" i="25"/>
  <c r="K286" i="25"/>
  <c r="K287" i="25" s="1"/>
  <c r="J286" i="25"/>
  <c r="J287" i="25"/>
  <c r="I286" i="25"/>
  <c r="I287" i="25" s="1"/>
  <c r="H286" i="25"/>
  <c r="H287" i="25"/>
  <c r="G286" i="25"/>
  <c r="G287" i="25" s="1"/>
  <c r="G288" i="25" s="1"/>
  <c r="F286" i="25"/>
  <c r="F287" i="25"/>
  <c r="B185" i="25"/>
  <c r="B183" i="25"/>
  <c r="S255" i="25"/>
  <c r="R255" i="25"/>
  <c r="Q255" i="25"/>
  <c r="Q257" i="25" s="1"/>
  <c r="P255" i="25"/>
  <c r="P257" i="25"/>
  <c r="P258" i="25" s="1"/>
  <c r="P261" i="25" s="1"/>
  <c r="O255" i="25"/>
  <c r="O257" i="25" s="1"/>
  <c r="N255" i="25"/>
  <c r="M255" i="25"/>
  <c r="L255" i="25"/>
  <c r="L257" i="25"/>
  <c r="K255" i="25"/>
  <c r="J255" i="25"/>
  <c r="I255" i="25"/>
  <c r="I257" i="25"/>
  <c r="H255" i="25"/>
  <c r="G255" i="25"/>
  <c r="F255" i="25"/>
  <c r="B182" i="25"/>
  <c r="B181" i="25"/>
  <c r="B180" i="25"/>
  <c r="B179" i="25"/>
  <c r="B178" i="25"/>
  <c r="B177" i="25"/>
  <c r="B176" i="25"/>
  <c r="B175" i="25"/>
  <c r="B174" i="25"/>
  <c r="B173" i="25"/>
  <c r="R184" i="25"/>
  <c r="R187" i="25" s="1"/>
  <c r="P184" i="25"/>
  <c r="N184" i="25"/>
  <c r="L184" i="25"/>
  <c r="J184" i="25"/>
  <c r="J187" i="25" s="1"/>
  <c r="H184" i="25"/>
  <c r="F184" i="25"/>
  <c r="B172" i="25"/>
  <c r="B169" i="25"/>
  <c r="B168" i="25"/>
  <c r="B165" i="25"/>
  <c r="B164" i="25"/>
  <c r="T163" i="25"/>
  <c r="U163" i="25" s="1"/>
  <c r="V163" i="25" s="1"/>
  <c r="W163" i="25" s="1"/>
  <c r="X163" i="25" s="1"/>
  <c r="Y163" i="25" s="1"/>
  <c r="Z163" i="25" s="1"/>
  <c r="AA163" i="25" s="1"/>
  <c r="AB163" i="25" s="1"/>
  <c r="AC163" i="25" s="1"/>
  <c r="B163" i="25"/>
  <c r="B161" i="25"/>
  <c r="S160" i="25"/>
  <c r="R160" i="25"/>
  <c r="Q160" i="25"/>
  <c r="P160" i="25"/>
  <c r="O160" i="25"/>
  <c r="N160" i="25"/>
  <c r="N161" i="25" s="1"/>
  <c r="N162" i="25" s="1"/>
  <c r="M160" i="25"/>
  <c r="L160" i="25"/>
  <c r="K160" i="25"/>
  <c r="J160" i="25"/>
  <c r="I160" i="25"/>
  <c r="H160" i="25"/>
  <c r="G160" i="25"/>
  <c r="F160" i="25"/>
  <c r="AC159" i="25"/>
  <c r="AB159" i="25"/>
  <c r="AA159" i="25"/>
  <c r="Z159" i="25"/>
  <c r="Y159" i="25"/>
  <c r="X159" i="25"/>
  <c r="W159" i="25"/>
  <c r="V159" i="25"/>
  <c r="U159" i="25"/>
  <c r="T159" i="25"/>
  <c r="S159" i="25"/>
  <c r="R159" i="25"/>
  <c r="R161" i="25" s="1"/>
  <c r="Q159" i="25"/>
  <c r="P159" i="25"/>
  <c r="P161" i="25"/>
  <c r="O159" i="25"/>
  <c r="N159" i="25"/>
  <c r="M159" i="25"/>
  <c r="M161" i="25" s="1"/>
  <c r="L159" i="25"/>
  <c r="L161" i="25"/>
  <c r="K159" i="25"/>
  <c r="J159" i="25"/>
  <c r="J161" i="25" s="1"/>
  <c r="I159" i="25"/>
  <c r="H159" i="25"/>
  <c r="G159" i="25"/>
  <c r="F159" i="25"/>
  <c r="F161" i="25"/>
  <c r="F162" i="25" s="1"/>
  <c r="F166" i="25" s="1"/>
  <c r="B156" i="25"/>
  <c r="B155" i="25"/>
  <c r="B152" i="25"/>
  <c r="B151" i="25"/>
  <c r="T150" i="25"/>
  <c r="U150" i="25" s="1"/>
  <c r="V150" i="25" s="1"/>
  <c r="W150" i="25"/>
  <c r="X150" i="25" s="1"/>
  <c r="Y150" i="25" s="1"/>
  <c r="Z150" i="25" s="1"/>
  <c r="AA150" i="25" s="1"/>
  <c r="AB150" i="25" s="1"/>
  <c r="AC150" i="25" s="1"/>
  <c r="B150" i="25"/>
  <c r="B148" i="25"/>
  <c r="B147" i="25"/>
  <c r="B146" i="25"/>
  <c r="B141" i="25"/>
  <c r="B139" i="25"/>
  <c r="B138" i="25"/>
  <c r="B137" i="25"/>
  <c r="B136" i="25"/>
  <c r="B135" i="25"/>
  <c r="B129" i="25"/>
  <c r="B128" i="25"/>
  <c r="B127" i="25"/>
  <c r="B126" i="25"/>
  <c r="B125" i="25"/>
  <c r="B124" i="25"/>
  <c r="B122" i="25"/>
  <c r="B121" i="25"/>
  <c r="B120" i="25"/>
  <c r="B119" i="25"/>
  <c r="B114" i="25"/>
  <c r="B113" i="25"/>
  <c r="S472" i="25"/>
  <c r="R472" i="25"/>
  <c r="Q472" i="25"/>
  <c r="P472" i="25"/>
  <c r="O472" i="25"/>
  <c r="O474" i="25" s="1"/>
  <c r="N472" i="25"/>
  <c r="M472" i="25"/>
  <c r="L472" i="25"/>
  <c r="K472" i="25"/>
  <c r="K474" i="25" s="1"/>
  <c r="J472" i="25"/>
  <c r="I472" i="25"/>
  <c r="H472" i="25"/>
  <c r="G472" i="25"/>
  <c r="G474" i="25" s="1"/>
  <c r="F472" i="25"/>
  <c r="B112" i="25"/>
  <c r="B110" i="25"/>
  <c r="B109" i="25"/>
  <c r="B108" i="25"/>
  <c r="B107" i="25"/>
  <c r="B106" i="25"/>
  <c r="B103" i="25"/>
  <c r="B102" i="25"/>
  <c r="B101" i="25"/>
  <c r="B99" i="25"/>
  <c r="B98" i="25"/>
  <c r="B97" i="25"/>
  <c r="B96" i="25"/>
  <c r="B95" i="25"/>
  <c r="B93" i="25"/>
  <c r="S348" i="25"/>
  <c r="S350" i="25" s="1"/>
  <c r="S351" i="25" s="1"/>
  <c r="R348" i="25"/>
  <c r="R350" i="25" s="1"/>
  <c r="Q348" i="25"/>
  <c r="Q350" i="25" s="1"/>
  <c r="Q351" i="25" s="1"/>
  <c r="P348" i="25"/>
  <c r="P350" i="25"/>
  <c r="O348" i="25"/>
  <c r="O350" i="25" s="1"/>
  <c r="N348" i="25"/>
  <c r="N350" i="25" s="1"/>
  <c r="M348" i="25"/>
  <c r="M350" i="25" s="1"/>
  <c r="L348" i="25"/>
  <c r="L350" i="25"/>
  <c r="L351" i="25" s="1"/>
  <c r="K348" i="25"/>
  <c r="K350" i="25" s="1"/>
  <c r="K351" i="25" s="1"/>
  <c r="J348" i="25"/>
  <c r="J350" i="25" s="1"/>
  <c r="I348" i="25"/>
  <c r="I350" i="25" s="1"/>
  <c r="I351" i="25" s="1"/>
  <c r="H348" i="25"/>
  <c r="H350" i="25"/>
  <c r="G348" i="25"/>
  <c r="G350" i="25" s="1"/>
  <c r="F348" i="25"/>
  <c r="B91" i="25"/>
  <c r="B90" i="25"/>
  <c r="B88" i="25"/>
  <c r="B86" i="25"/>
  <c r="B85" i="25"/>
  <c r="B83" i="25"/>
  <c r="B82" i="25"/>
  <c r="B80" i="25"/>
  <c r="B79" i="25"/>
  <c r="B76" i="25"/>
  <c r="B71" i="25"/>
  <c r="S65" i="25"/>
  <c r="R65" i="25"/>
  <c r="Q65" i="25"/>
  <c r="P65" i="25"/>
  <c r="O65" i="25"/>
  <c r="N65" i="25"/>
  <c r="M65" i="25"/>
  <c r="L65" i="25"/>
  <c r="K65" i="25"/>
  <c r="J65" i="25"/>
  <c r="I65" i="25"/>
  <c r="H65" i="25"/>
  <c r="G65" i="25"/>
  <c r="F65" i="25"/>
  <c r="R64" i="25"/>
  <c r="Q64" i="25"/>
  <c r="P64" i="25"/>
  <c r="O64" i="25"/>
  <c r="N64" i="25"/>
  <c r="M64" i="25"/>
  <c r="L64" i="25"/>
  <c r="K64" i="25"/>
  <c r="J64" i="25"/>
  <c r="I64" i="25"/>
  <c r="H64" i="25"/>
  <c r="G64" i="25"/>
  <c r="F64" i="25"/>
  <c r="R56" i="25"/>
  <c r="P56" i="25"/>
  <c r="N56" i="25"/>
  <c r="L56" i="25"/>
  <c r="J56" i="25"/>
  <c r="H56" i="25"/>
  <c r="F56" i="25"/>
  <c r="S51" i="25"/>
  <c r="R51" i="25"/>
  <c r="Q51" i="25"/>
  <c r="P51" i="25"/>
  <c r="O51" i="25"/>
  <c r="N51" i="25"/>
  <c r="M51" i="25"/>
  <c r="L51" i="25"/>
  <c r="K51" i="25"/>
  <c r="J51" i="25"/>
  <c r="I51" i="25"/>
  <c r="H51" i="25"/>
  <c r="B49" i="25"/>
  <c r="O48" i="25"/>
  <c r="M48" i="25"/>
  <c r="M50" i="25" s="1"/>
  <c r="G48" i="25"/>
  <c r="S43" i="25"/>
  <c r="R43" i="25"/>
  <c r="Q43" i="25"/>
  <c r="P43" i="25"/>
  <c r="O43" i="25"/>
  <c r="N43" i="25"/>
  <c r="M43" i="25"/>
  <c r="L43" i="25"/>
  <c r="K43" i="25"/>
  <c r="J43" i="25"/>
  <c r="I43" i="25"/>
  <c r="H43" i="25"/>
  <c r="G43" i="25"/>
  <c r="F43" i="25"/>
  <c r="S36" i="25"/>
  <c r="Q36" i="25"/>
  <c r="O36" i="25"/>
  <c r="K36" i="25"/>
  <c r="I36" i="25"/>
  <c r="G36" i="25"/>
  <c r="B35" i="25"/>
  <c r="B33" i="25"/>
  <c r="B32" i="25"/>
  <c r="B31" i="25"/>
  <c r="B29" i="25"/>
  <c r="B27" i="25"/>
  <c r="S26" i="25"/>
  <c r="Q26" i="25"/>
  <c r="O26" i="25"/>
  <c r="K26" i="25"/>
  <c r="I26" i="25"/>
  <c r="G26" i="25"/>
  <c r="B25" i="25"/>
  <c r="B23" i="25"/>
  <c r="B20" i="25"/>
  <c r="Q18" i="25"/>
  <c r="O18" i="25"/>
  <c r="M18" i="25"/>
  <c r="I18" i="25"/>
  <c r="G18" i="25"/>
  <c r="B17" i="25"/>
  <c r="R21" i="25"/>
  <c r="N21" i="25"/>
  <c r="L21" i="25"/>
  <c r="J21" i="25"/>
  <c r="F21" i="25"/>
  <c r="B15" i="25"/>
  <c r="Q13" i="25"/>
  <c r="P13" i="25"/>
  <c r="O13" i="25"/>
  <c r="M13" i="25"/>
  <c r="L13" i="25"/>
  <c r="K13" i="25"/>
  <c r="I13" i="25"/>
  <c r="H13" i="25"/>
  <c r="G13" i="25"/>
  <c r="B11" i="25"/>
  <c r="S10" i="25"/>
  <c r="Q10" i="25"/>
  <c r="O10" i="25"/>
  <c r="K10" i="25"/>
  <c r="I10" i="25"/>
  <c r="G10" i="25"/>
  <c r="C1" i="25"/>
  <c r="AC27" i="25"/>
  <c r="G257" i="25"/>
  <c r="S257" i="25"/>
  <c r="T257" i="25" s="1"/>
  <c r="U257" i="25" s="1"/>
  <c r="I161" i="25"/>
  <c r="I162" i="25" s="1"/>
  <c r="I166" i="25" s="1"/>
  <c r="K161" i="25"/>
  <c r="K162" i="25" s="1"/>
  <c r="K166" i="25" s="1"/>
  <c r="M162" i="25"/>
  <c r="M166" i="25" s="1"/>
  <c r="Q161" i="25"/>
  <c r="Q162" i="25" s="1"/>
  <c r="Q166" i="25" s="1"/>
  <c r="S161" i="25"/>
  <c r="S162" i="25" s="1"/>
  <c r="S166" i="25" s="1"/>
  <c r="K374" i="27"/>
  <c r="J378" i="27"/>
  <c r="J360" i="27"/>
  <c r="J340" i="27"/>
  <c r="I341" i="27"/>
  <c r="I319" i="27"/>
  <c r="G50" i="25"/>
  <c r="O50" i="25"/>
  <c r="G56" i="25"/>
  <c r="I56" i="25"/>
  <c r="K56" i="25"/>
  <c r="M56" i="25"/>
  <c r="O56" i="25"/>
  <c r="Q56" i="25"/>
  <c r="S56" i="25"/>
  <c r="G100" i="25"/>
  <c r="I100" i="25"/>
  <c r="K100" i="25"/>
  <c r="M100" i="25"/>
  <c r="M105" i="25" s="1"/>
  <c r="O100" i="25"/>
  <c r="Q100" i="25"/>
  <c r="S100" i="25"/>
  <c r="F104" i="25"/>
  <c r="H104" i="25"/>
  <c r="J104" i="25"/>
  <c r="L104" i="25"/>
  <c r="N104" i="25"/>
  <c r="P104" i="25"/>
  <c r="P105" i="25" s="1"/>
  <c r="R104" i="25"/>
  <c r="G111" i="25"/>
  <c r="I111" i="25"/>
  <c r="K111" i="25"/>
  <c r="O111" i="25"/>
  <c r="Q111" i="25"/>
  <c r="Q116" i="25" s="1"/>
  <c r="S111" i="25"/>
  <c r="H242" i="25"/>
  <c r="J242" i="25"/>
  <c r="L242" i="25"/>
  <c r="N242" i="25"/>
  <c r="P242" i="25"/>
  <c r="R242" i="25"/>
  <c r="Z1" i="25"/>
  <c r="I123" i="25"/>
  <c r="K123" i="25"/>
  <c r="M123" i="25"/>
  <c r="Q123" i="25"/>
  <c r="S123" i="25"/>
  <c r="V1" i="25"/>
  <c r="T20" i="25"/>
  <c r="U20" i="25" s="1"/>
  <c r="V20" i="25" s="1"/>
  <c r="W20" i="25" s="1"/>
  <c r="X20" i="25" s="1"/>
  <c r="Y20" i="25" s="1"/>
  <c r="Z20" i="25" s="1"/>
  <c r="AA20" i="25"/>
  <c r="AB20" i="25" s="1"/>
  <c r="AC20" i="25" s="1"/>
  <c r="T32" i="25"/>
  <c r="T1" i="25"/>
  <c r="X1" i="25"/>
  <c r="AB1" i="25"/>
  <c r="F84" i="25"/>
  <c r="F67" i="25"/>
  <c r="H84" i="25"/>
  <c r="J84" i="25"/>
  <c r="J67" i="25"/>
  <c r="L84" i="25"/>
  <c r="L67" i="25" s="1"/>
  <c r="N84" i="25"/>
  <c r="N67" i="25"/>
  <c r="P84" i="25"/>
  <c r="P67" i="25" s="1"/>
  <c r="R84" i="25"/>
  <c r="R67" i="25"/>
  <c r="G84" i="25"/>
  <c r="G67" i="25" s="1"/>
  <c r="I84" i="25"/>
  <c r="I67" i="25"/>
  <c r="K84" i="25"/>
  <c r="K67" i="25" s="1"/>
  <c r="M84" i="25"/>
  <c r="M67" i="25"/>
  <c r="O84" i="25"/>
  <c r="O67" i="25" s="1"/>
  <c r="Q84" i="25"/>
  <c r="Q67" i="25"/>
  <c r="S84" i="25"/>
  <c r="S67" i="25" s="1"/>
  <c r="F87" i="25"/>
  <c r="F89" i="25"/>
  <c r="F92" i="25" s="1"/>
  <c r="F93" i="25" s="1"/>
  <c r="H87" i="25"/>
  <c r="H89" i="25"/>
  <c r="H92" i="25"/>
  <c r="H93" i="25" s="1"/>
  <c r="J87" i="25"/>
  <c r="J89" i="25"/>
  <c r="J92" i="25" s="1"/>
  <c r="J93" i="25" s="1"/>
  <c r="L87" i="25"/>
  <c r="L89" i="25"/>
  <c r="L92" i="25" s="1"/>
  <c r="L93" i="25" s="1"/>
  <c r="N87" i="25"/>
  <c r="N89" i="25"/>
  <c r="N92" i="25" s="1"/>
  <c r="N93" i="25" s="1"/>
  <c r="P87" i="25"/>
  <c r="P89" i="25"/>
  <c r="P92" i="25"/>
  <c r="P93" i="25" s="1"/>
  <c r="R87" i="25"/>
  <c r="R89" i="25"/>
  <c r="R92" i="25" s="1"/>
  <c r="R93" i="25" s="1"/>
  <c r="G87" i="25"/>
  <c r="G89" i="25"/>
  <c r="G92" i="25" s="1"/>
  <c r="G93" i="25" s="1"/>
  <c r="I87" i="25"/>
  <c r="I89" i="25"/>
  <c r="I92" i="25" s="1"/>
  <c r="I93" i="25" s="1"/>
  <c r="K87" i="25"/>
  <c r="K89" i="25"/>
  <c r="K92" i="25"/>
  <c r="K93" i="25" s="1"/>
  <c r="M87" i="25"/>
  <c r="M89" i="25"/>
  <c r="M92" i="25" s="1"/>
  <c r="M93" i="25" s="1"/>
  <c r="O87" i="25"/>
  <c r="O89" i="25"/>
  <c r="O92" i="25" s="1"/>
  <c r="O93" i="25" s="1"/>
  <c r="Q87" i="25"/>
  <c r="Q89" i="25"/>
  <c r="Q92" i="25" s="1"/>
  <c r="Q93" i="25" s="1"/>
  <c r="S87" i="25"/>
  <c r="S89" i="25"/>
  <c r="S92" i="25"/>
  <c r="S93" i="25" s="1"/>
  <c r="F100" i="25"/>
  <c r="H100" i="25"/>
  <c r="H105" i="25" s="1"/>
  <c r="J100" i="25"/>
  <c r="L100" i="25"/>
  <c r="L105" i="25"/>
  <c r="N100" i="25"/>
  <c r="P100" i="25"/>
  <c r="R100" i="25"/>
  <c r="G104" i="25"/>
  <c r="I104" i="25"/>
  <c r="K104" i="25"/>
  <c r="K105" i="25" s="1"/>
  <c r="M104" i="25"/>
  <c r="O104" i="25"/>
  <c r="O105" i="25"/>
  <c r="O118" i="25" s="1"/>
  <c r="Q104" i="25"/>
  <c r="S104" i="25"/>
  <c r="S105" i="25"/>
  <c r="F111" i="25"/>
  <c r="F116" i="25" s="1"/>
  <c r="J111" i="25"/>
  <c r="N111" i="25"/>
  <c r="P111" i="25"/>
  <c r="P116" i="25" s="1"/>
  <c r="R111" i="25"/>
  <c r="F130" i="25"/>
  <c r="H130" i="25"/>
  <c r="J130" i="25"/>
  <c r="L130" i="25"/>
  <c r="N130" i="25"/>
  <c r="P130" i="25"/>
  <c r="R130" i="25"/>
  <c r="G130" i="25"/>
  <c r="I130" i="25"/>
  <c r="K130" i="25"/>
  <c r="M130" i="25"/>
  <c r="O130" i="25"/>
  <c r="Q130" i="25"/>
  <c r="S130" i="25"/>
  <c r="F140" i="25"/>
  <c r="G184" i="25"/>
  <c r="G189" i="25"/>
  <c r="G190" i="25"/>
  <c r="I184" i="25"/>
  <c r="K184" i="25"/>
  <c r="K187" i="25" s="1"/>
  <c r="O184" i="25"/>
  <c r="O187" i="25" s="1"/>
  <c r="O189" i="25"/>
  <c r="Q184" i="25"/>
  <c r="Q189" i="25"/>
  <c r="Q190" i="25" s="1"/>
  <c r="S184" i="25"/>
  <c r="F206" i="25"/>
  <c r="H206" i="25"/>
  <c r="J206" i="25"/>
  <c r="L206" i="25"/>
  <c r="N206" i="25"/>
  <c r="P206" i="25"/>
  <c r="R206" i="25"/>
  <c r="F213" i="25"/>
  <c r="F123" i="25"/>
  <c r="H213" i="25"/>
  <c r="H123" i="25" s="1"/>
  <c r="J213" i="25"/>
  <c r="J123" i="25"/>
  <c r="L213" i="25"/>
  <c r="L123" i="25" s="1"/>
  <c r="N213" i="25"/>
  <c r="N123" i="25"/>
  <c r="P213" i="25"/>
  <c r="P123" i="25" s="1"/>
  <c r="R213" i="25"/>
  <c r="R123" i="25"/>
  <c r="F220" i="25"/>
  <c r="H220" i="25"/>
  <c r="J220" i="25"/>
  <c r="L220" i="25"/>
  <c r="N220" i="25"/>
  <c r="P220" i="25"/>
  <c r="R220" i="25"/>
  <c r="F227" i="25"/>
  <c r="F44" i="25"/>
  <c r="G242" i="25"/>
  <c r="I242" i="25"/>
  <c r="K242" i="25"/>
  <c r="M242" i="25"/>
  <c r="O242" i="25"/>
  <c r="Q242" i="25"/>
  <c r="S242" i="25"/>
  <c r="F468" i="25"/>
  <c r="F331" i="25"/>
  <c r="H331" i="25"/>
  <c r="J331" i="25"/>
  <c r="J48" i="25"/>
  <c r="J50" i="25" s="1"/>
  <c r="L331" i="25"/>
  <c r="N331" i="25"/>
  <c r="P331" i="25"/>
  <c r="P118" i="25" s="1"/>
  <c r="R331" i="25"/>
  <c r="F337" i="25"/>
  <c r="H337" i="25"/>
  <c r="J337" i="25"/>
  <c r="L337" i="25"/>
  <c r="L118" i="25"/>
  <c r="N337" i="25"/>
  <c r="P337" i="25"/>
  <c r="R337" i="25"/>
  <c r="D31" i="26"/>
  <c r="L19" i="25"/>
  <c r="P19" i="25"/>
  <c r="G19" i="25"/>
  <c r="I19" i="25"/>
  <c r="K19" i="25"/>
  <c r="M19" i="25"/>
  <c r="O19" i="25"/>
  <c r="Q19" i="25"/>
  <c r="S19" i="25"/>
  <c r="F19" i="25"/>
  <c r="R19" i="25"/>
  <c r="G24" i="25"/>
  <c r="I24" i="25"/>
  <c r="M24" i="25"/>
  <c r="O24" i="25"/>
  <c r="Q24" i="25"/>
  <c r="G30" i="25"/>
  <c r="H30" i="25"/>
  <c r="J30" i="25"/>
  <c r="N30" i="25"/>
  <c r="P30" i="25"/>
  <c r="R30" i="25"/>
  <c r="U32" i="25"/>
  <c r="K189" i="25"/>
  <c r="K190" i="25"/>
  <c r="S189" i="25"/>
  <c r="S190" i="25"/>
  <c r="T190" i="25" s="1"/>
  <c r="U190" i="25" s="1"/>
  <c r="S187" i="25"/>
  <c r="L10" i="25"/>
  <c r="P10" i="25"/>
  <c r="R12" i="25"/>
  <c r="H16" i="25"/>
  <c r="J16" i="25"/>
  <c r="N16" i="25"/>
  <c r="P16" i="25"/>
  <c r="R16" i="25"/>
  <c r="H18" i="25"/>
  <c r="J18" i="25"/>
  <c r="L18" i="25"/>
  <c r="P18" i="25"/>
  <c r="R18" i="25"/>
  <c r="G21" i="25"/>
  <c r="G22" i="25" s="1"/>
  <c r="I21" i="25"/>
  <c r="K21" i="25"/>
  <c r="M21" i="25"/>
  <c r="M22" i="25"/>
  <c r="O21" i="25"/>
  <c r="O22" i="25" s="1"/>
  <c r="Q21" i="25"/>
  <c r="S21" i="25"/>
  <c r="H24" i="25"/>
  <c r="J24" i="25"/>
  <c r="L24" i="25"/>
  <c r="P24" i="25"/>
  <c r="R24" i="25"/>
  <c r="H26" i="25"/>
  <c r="J26" i="25"/>
  <c r="N26" i="25"/>
  <c r="P26" i="25"/>
  <c r="R26" i="25"/>
  <c r="U27" i="25"/>
  <c r="W27" i="25"/>
  <c r="Y27" i="25"/>
  <c r="AA27" i="25"/>
  <c r="K30" i="25"/>
  <c r="M30" i="25"/>
  <c r="O30" i="25"/>
  <c r="S30" i="25"/>
  <c r="T30" i="25" s="1"/>
  <c r="J36" i="25"/>
  <c r="L36" i="25"/>
  <c r="N36" i="25"/>
  <c r="R36" i="25"/>
  <c r="N143" i="25"/>
  <c r="T394" i="25"/>
  <c r="U394" i="25"/>
  <c r="V394" i="25"/>
  <c r="W394" i="25" s="1"/>
  <c r="X394" i="25" s="1"/>
  <c r="Y394" i="25" s="1"/>
  <c r="Z394" i="25" s="1"/>
  <c r="AA394" i="25" s="1"/>
  <c r="AB394" i="25" s="1"/>
  <c r="AC394" i="25" s="1"/>
  <c r="T364" i="25"/>
  <c r="T266" i="25" s="1"/>
  <c r="T362" i="25"/>
  <c r="T160" i="25" s="1"/>
  <c r="AB319" i="25"/>
  <c r="Z319" i="25"/>
  <c r="X319" i="25"/>
  <c r="T319" i="25"/>
  <c r="AC318" i="25"/>
  <c r="AA318" i="25"/>
  <c r="Y318" i="25"/>
  <c r="W318" i="25"/>
  <c r="AB317" i="25"/>
  <c r="T393" i="25"/>
  <c r="T487" i="25" s="1"/>
  <c r="T367" i="25"/>
  <c r="U367" i="25"/>
  <c r="V367" i="25"/>
  <c r="W367" i="25" s="1"/>
  <c r="X367" i="25" s="1"/>
  <c r="Y367" i="25" s="1"/>
  <c r="Z367" i="25" s="1"/>
  <c r="AA367" i="25" s="1"/>
  <c r="AB367" i="25" s="1"/>
  <c r="AC367" i="25" s="1"/>
  <c r="T365" i="25"/>
  <c r="T336" i="25"/>
  <c r="T337" i="25" s="1"/>
  <c r="AC319" i="25"/>
  <c r="AA319" i="25"/>
  <c r="Y319" i="25"/>
  <c r="W319" i="25"/>
  <c r="AB318" i="25"/>
  <c r="Z318" i="25"/>
  <c r="X318" i="25"/>
  <c r="V318" i="25"/>
  <c r="T318" i="25"/>
  <c r="U318" i="25" s="1"/>
  <c r="AC317" i="25"/>
  <c r="Z317" i="25"/>
  <c r="X317" i="25"/>
  <c r="V317" i="25"/>
  <c r="T317" i="25"/>
  <c r="T315" i="25"/>
  <c r="U315" i="25" s="1"/>
  <c r="V315" i="25" s="1"/>
  <c r="W315" i="25" s="1"/>
  <c r="X315" i="25" s="1"/>
  <c r="Y315" i="25" s="1"/>
  <c r="Z315" i="25" s="1"/>
  <c r="AA315" i="25" s="1"/>
  <c r="AB315" i="25"/>
  <c r="AC315" i="25" s="1"/>
  <c r="AC310" i="25"/>
  <c r="AC311" i="25" s="1"/>
  <c r="AA310" i="25"/>
  <c r="AA311" i="25" s="1"/>
  <c r="Y310" i="25"/>
  <c r="Y311" i="25" s="1"/>
  <c r="W310" i="25"/>
  <c r="W311" i="25" s="1"/>
  <c r="U310" i="25"/>
  <c r="U311" i="25"/>
  <c r="T276" i="25"/>
  <c r="U276" i="25" s="1"/>
  <c r="T273" i="25"/>
  <c r="U273" i="25"/>
  <c r="V273" i="25"/>
  <c r="T239" i="25"/>
  <c r="U239" i="25" s="1"/>
  <c r="V239" i="25" s="1"/>
  <c r="W239" i="25" s="1"/>
  <c r="X239" i="25" s="1"/>
  <c r="Y239" i="25" s="1"/>
  <c r="Z239" i="25" s="1"/>
  <c r="AA239" i="25" s="1"/>
  <c r="AB239" i="25" s="1"/>
  <c r="AC239" i="25" s="1"/>
  <c r="T235" i="25"/>
  <c r="U235" i="25"/>
  <c r="V235" i="25"/>
  <c r="W235" i="25" s="1"/>
  <c r="X235" i="25" s="1"/>
  <c r="Y235" i="25" s="1"/>
  <c r="Z235" i="25" s="1"/>
  <c r="AA235" i="25" s="1"/>
  <c r="AB235" i="25" s="1"/>
  <c r="AC235" i="25" s="1"/>
  <c r="AA317" i="25"/>
  <c r="Y317" i="25"/>
  <c r="W317" i="25"/>
  <c r="U317" i="25"/>
  <c r="T316" i="25"/>
  <c r="U316" i="25" s="1"/>
  <c r="V316" i="25" s="1"/>
  <c r="W316" i="25"/>
  <c r="X316" i="25" s="1"/>
  <c r="Y316" i="25" s="1"/>
  <c r="Z316" i="25" s="1"/>
  <c r="AA316" i="25" s="1"/>
  <c r="AB316" i="25" s="1"/>
  <c r="AC316" i="25" s="1"/>
  <c r="T314" i="25"/>
  <c r="U314" i="25" s="1"/>
  <c r="V314" i="25" s="1"/>
  <c r="W314" i="25" s="1"/>
  <c r="AB310" i="25"/>
  <c r="AB311" i="25" s="1"/>
  <c r="Z310" i="25"/>
  <c r="Z311" i="25"/>
  <c r="X310" i="25"/>
  <c r="X311" i="25" s="1"/>
  <c r="V310" i="25"/>
  <c r="V311" i="25"/>
  <c r="T310" i="25"/>
  <c r="T311" i="25" s="1"/>
  <c r="T250" i="25"/>
  <c r="T232" i="25"/>
  <c r="AB143" i="25"/>
  <c r="Z143" i="25"/>
  <c r="X143" i="25"/>
  <c r="V143" i="25"/>
  <c r="T143" i="25"/>
  <c r="T212" i="25"/>
  <c r="T176" i="25"/>
  <c r="U176" i="25"/>
  <c r="V176" i="25" s="1"/>
  <c r="W176" i="25" s="1"/>
  <c r="X176" i="25" s="1"/>
  <c r="Y176" i="25" s="1"/>
  <c r="Z176" i="25" s="1"/>
  <c r="AA176" i="25" s="1"/>
  <c r="AB176" i="25" s="1"/>
  <c r="AC176" i="25" s="1"/>
  <c r="AC143" i="25"/>
  <c r="AA143" i="25"/>
  <c r="Y143" i="25"/>
  <c r="W143" i="25"/>
  <c r="U143" i="25"/>
  <c r="F187" i="25"/>
  <c r="F189" i="25"/>
  <c r="F190" i="25"/>
  <c r="H187" i="25"/>
  <c r="H189" i="25"/>
  <c r="H190" i="25" s="1"/>
  <c r="J189" i="25"/>
  <c r="J190" i="25"/>
  <c r="J191" i="25" s="1"/>
  <c r="L187" i="25"/>
  <c r="L189" i="25"/>
  <c r="L190" i="25"/>
  <c r="N187" i="25"/>
  <c r="N42" i="25" s="1"/>
  <c r="N45" i="25" s="1"/>
  <c r="N189" i="25"/>
  <c r="N190" i="25"/>
  <c r="P187" i="25"/>
  <c r="P189" i="25"/>
  <c r="R189" i="25"/>
  <c r="R190" i="25"/>
  <c r="J10" i="25"/>
  <c r="N10" i="25"/>
  <c r="R10" i="25"/>
  <c r="H12" i="25"/>
  <c r="L12" i="25"/>
  <c r="P12" i="25"/>
  <c r="U1" i="25"/>
  <c r="W1" i="25"/>
  <c r="Y1" i="25"/>
  <c r="AA1" i="25"/>
  <c r="AC1" i="25"/>
  <c r="G12" i="25"/>
  <c r="I12" i="25"/>
  <c r="M12" i="25"/>
  <c r="O12" i="25"/>
  <c r="Q12" i="25"/>
  <c r="S13" i="25"/>
  <c r="G16" i="25"/>
  <c r="K16" i="25"/>
  <c r="M16" i="25"/>
  <c r="O16" i="25"/>
  <c r="S16" i="25"/>
  <c r="T25" i="25"/>
  <c r="T23" i="25" s="1"/>
  <c r="T27" i="25"/>
  <c r="V27" i="25"/>
  <c r="X27" i="25"/>
  <c r="Z27" i="25"/>
  <c r="AB27" i="25"/>
  <c r="I105" i="25"/>
  <c r="Q105" i="25"/>
  <c r="G143" i="25"/>
  <c r="M143" i="25"/>
  <c r="O143" i="25"/>
  <c r="F382" i="25"/>
  <c r="G351" i="25"/>
  <c r="M351" i="25"/>
  <c r="O351" i="25"/>
  <c r="L258" i="25"/>
  <c r="L261" i="25"/>
  <c r="F288" i="25"/>
  <c r="H288" i="25"/>
  <c r="J288" i="25"/>
  <c r="L288" i="25"/>
  <c r="N288" i="25"/>
  <c r="P288" i="25"/>
  <c r="R288" i="25"/>
  <c r="G269" i="25"/>
  <c r="G60" i="25" s="1"/>
  <c r="M269" i="25"/>
  <c r="U268" i="25"/>
  <c r="V268" i="25"/>
  <c r="W268" i="25" s="1"/>
  <c r="X268" i="25" s="1"/>
  <c r="Y268" i="25" s="1"/>
  <c r="Z268" i="25" s="1"/>
  <c r="AA268" i="25" s="1"/>
  <c r="AB268" i="25" s="1"/>
  <c r="AC268" i="25" s="1"/>
  <c r="G228" i="25"/>
  <c r="G227" i="25"/>
  <c r="I228" i="25"/>
  <c r="I227" i="25"/>
  <c r="K228" i="25"/>
  <c r="K227" i="25"/>
  <c r="M228" i="25"/>
  <c r="M227" i="25"/>
  <c r="O228" i="25"/>
  <c r="O227" i="25"/>
  <c r="Q228" i="25"/>
  <c r="Q227" i="25"/>
  <c r="S228" i="25"/>
  <c r="T228" i="25" s="1"/>
  <c r="U228" i="25" s="1"/>
  <c r="V228" i="25" s="1"/>
  <c r="W228" i="25" s="1"/>
  <c r="X228" i="25" s="1"/>
  <c r="Y228" i="25" s="1"/>
  <c r="Z228" i="25" s="1"/>
  <c r="AA228" i="25" s="1"/>
  <c r="AB228" i="25" s="1"/>
  <c r="AC228" i="25" s="1"/>
  <c r="S227" i="25"/>
  <c r="V237" i="25"/>
  <c r="U246" i="25"/>
  <c r="F115" i="25"/>
  <c r="H115" i="25"/>
  <c r="J115" i="25"/>
  <c r="L115" i="25"/>
  <c r="N115" i="25"/>
  <c r="P115" i="25"/>
  <c r="R115" i="25"/>
  <c r="G140" i="25"/>
  <c r="G141" i="25"/>
  <c r="I140" i="25"/>
  <c r="I141" i="25" s="1"/>
  <c r="K140" i="25"/>
  <c r="K141" i="25"/>
  <c r="K142" i="25" s="1"/>
  <c r="M140" i="25"/>
  <c r="M141" i="25" s="1"/>
  <c r="O140" i="25"/>
  <c r="O141" i="25"/>
  <c r="Q140" i="25"/>
  <c r="S140" i="25"/>
  <c r="S141" i="25"/>
  <c r="H149" i="25"/>
  <c r="P149" i="25"/>
  <c r="J162" i="25"/>
  <c r="J166" i="25"/>
  <c r="L162" i="25"/>
  <c r="L166" i="25"/>
  <c r="N166" i="25"/>
  <c r="R162" i="25"/>
  <c r="N351" i="25"/>
  <c r="G258" i="25"/>
  <c r="G261" i="25" s="1"/>
  <c r="O258" i="25"/>
  <c r="O261" i="25" s="1"/>
  <c r="O262" i="25" s="1"/>
  <c r="V257" i="25"/>
  <c r="W257" i="25"/>
  <c r="X257" i="25" s="1"/>
  <c r="Y257" i="25" s="1"/>
  <c r="Z257" i="25" s="1"/>
  <c r="AA257" i="25" s="1"/>
  <c r="AB257" i="25" s="1"/>
  <c r="AC257" i="25" s="1"/>
  <c r="I288" i="25"/>
  <c r="H269" i="25"/>
  <c r="H227" i="25"/>
  <c r="H44" i="25" s="1"/>
  <c r="H228" i="25"/>
  <c r="J227" i="25"/>
  <c r="J228" i="25"/>
  <c r="L227" i="25"/>
  <c r="L44" i="25" s="1"/>
  <c r="L228" i="25"/>
  <c r="N227" i="25"/>
  <c r="N228" i="25"/>
  <c r="P227" i="25"/>
  <c r="P44" i="25" s="1"/>
  <c r="P228" i="25"/>
  <c r="R227" i="25"/>
  <c r="R228" i="25"/>
  <c r="G115" i="25"/>
  <c r="I115" i="25"/>
  <c r="K115" i="25"/>
  <c r="M115" i="25"/>
  <c r="O115" i="25"/>
  <c r="Q115" i="25"/>
  <c r="S115" i="25"/>
  <c r="H140" i="25"/>
  <c r="H141" i="25"/>
  <c r="H142" i="25" s="1"/>
  <c r="J140" i="25"/>
  <c r="J141" i="25" s="1"/>
  <c r="J142" i="25" s="1"/>
  <c r="L140" i="25"/>
  <c r="L141" i="25"/>
  <c r="L142" i="25" s="1"/>
  <c r="N140" i="25"/>
  <c r="N141" i="25" s="1"/>
  <c r="N142" i="25" s="1"/>
  <c r="N55" i="25" s="1"/>
  <c r="N58" i="25" s="1"/>
  <c r="P140" i="25"/>
  <c r="P141" i="25"/>
  <c r="P142" i="25" s="1"/>
  <c r="R140" i="25"/>
  <c r="R141" i="25" s="1"/>
  <c r="I149" i="25"/>
  <c r="M149" i="25"/>
  <c r="M153" i="25" s="1"/>
  <c r="M40" i="25" s="1"/>
  <c r="M41" i="25" s="1"/>
  <c r="Q149" i="25"/>
  <c r="S149" i="25"/>
  <c r="T243" i="25"/>
  <c r="U243" i="25"/>
  <c r="V243" i="25" s="1"/>
  <c r="W243" i="25" s="1"/>
  <c r="X243" i="25" s="1"/>
  <c r="Y243" i="25" s="1"/>
  <c r="Z243" i="25" s="1"/>
  <c r="AA243" i="25" s="1"/>
  <c r="AB243" i="25" s="1"/>
  <c r="AC243" i="25" s="1"/>
  <c r="G236" i="25"/>
  <c r="G239" i="25" s="1"/>
  <c r="I236" i="25"/>
  <c r="I239" i="25"/>
  <c r="K236" i="25"/>
  <c r="K239" i="25" s="1"/>
  <c r="M236" i="25"/>
  <c r="M239" i="25"/>
  <c r="O236" i="25"/>
  <c r="O239" i="25" s="1"/>
  <c r="Q236" i="25"/>
  <c r="Q239" i="25"/>
  <c r="U249" i="25"/>
  <c r="G252" i="25"/>
  <c r="I252" i="25"/>
  <c r="K252" i="25"/>
  <c r="M252" i="25"/>
  <c r="O252" i="25"/>
  <c r="S252" i="25"/>
  <c r="I283" i="25"/>
  <c r="K283" i="25"/>
  <c r="M283" i="25"/>
  <c r="O283" i="25"/>
  <c r="S283" i="25"/>
  <c r="U295" i="25"/>
  <c r="V295" i="25" s="1"/>
  <c r="W295" i="25" s="1"/>
  <c r="X295" i="25" s="1"/>
  <c r="Y295" i="25" s="1"/>
  <c r="Z295" i="25" s="1"/>
  <c r="U298" i="25"/>
  <c r="U301" i="25"/>
  <c r="F307" i="25"/>
  <c r="H307" i="25"/>
  <c r="J307" i="25"/>
  <c r="L307" i="25"/>
  <c r="N307" i="25"/>
  <c r="P307" i="25"/>
  <c r="R307" i="25"/>
  <c r="T306" i="25"/>
  <c r="U306" i="25" s="1"/>
  <c r="V306" i="25" s="1"/>
  <c r="W306" i="25" s="1"/>
  <c r="X306" i="25" s="1"/>
  <c r="Y306" i="25" s="1"/>
  <c r="Z306" i="25"/>
  <c r="AA306" i="25" s="1"/>
  <c r="AB306" i="25" s="1"/>
  <c r="AC306" i="25" s="1"/>
  <c r="F321" i="25"/>
  <c r="T324" i="25"/>
  <c r="G395" i="25"/>
  <c r="F381" i="25"/>
  <c r="F236" i="25"/>
  <c r="F239" i="25"/>
  <c r="H236" i="25"/>
  <c r="L236" i="25"/>
  <c r="N236" i="25"/>
  <c r="N239" i="25"/>
  <c r="P236" i="25"/>
  <c r="R236" i="25"/>
  <c r="R239" i="25"/>
  <c r="F252" i="25"/>
  <c r="H252" i="25"/>
  <c r="J252" i="25"/>
  <c r="L252" i="25"/>
  <c r="N252" i="25"/>
  <c r="P252" i="25"/>
  <c r="R252" i="25"/>
  <c r="F283" i="25"/>
  <c r="H283" i="25"/>
  <c r="J283" i="25"/>
  <c r="L283" i="25"/>
  <c r="P283" i="25"/>
  <c r="R283" i="25"/>
  <c r="G410" i="25"/>
  <c r="G409" i="25"/>
  <c r="I410" i="25"/>
  <c r="I408" i="25" s="1"/>
  <c r="I409" i="25"/>
  <c r="K410" i="25"/>
  <c r="K409" i="25"/>
  <c r="M410" i="25"/>
  <c r="M408" i="25" s="1"/>
  <c r="M409" i="25"/>
  <c r="O410" i="25"/>
  <c r="O409" i="25"/>
  <c r="Q410" i="25"/>
  <c r="T410" i="25" s="1"/>
  <c r="T413" i="25" s="1"/>
  <c r="Q409" i="25"/>
  <c r="S410" i="25"/>
  <c r="S409" i="25"/>
  <c r="H468" i="25"/>
  <c r="J468" i="25"/>
  <c r="L468" i="25"/>
  <c r="N468" i="25"/>
  <c r="P468" i="25"/>
  <c r="P469" i="25" s="1"/>
  <c r="P476" i="25" s="1"/>
  <c r="R468" i="25"/>
  <c r="T334" i="25"/>
  <c r="F344" i="25"/>
  <c r="G344" i="25"/>
  <c r="F359" i="25"/>
  <c r="H359" i="25"/>
  <c r="J359" i="25"/>
  <c r="L359" i="25"/>
  <c r="N359" i="25"/>
  <c r="P359" i="25"/>
  <c r="R359" i="25"/>
  <c r="G427" i="25"/>
  <c r="G429" i="25"/>
  <c r="I427" i="25"/>
  <c r="I429" i="25"/>
  <c r="K427" i="25"/>
  <c r="K429" i="25"/>
  <c r="M427" i="25"/>
  <c r="M429" i="25"/>
  <c r="M430" i="25" s="1"/>
  <c r="O427" i="25"/>
  <c r="O429" i="25"/>
  <c r="Q427" i="25"/>
  <c r="Q429" i="25"/>
  <c r="S427" i="25"/>
  <c r="S429" i="25"/>
  <c r="G407" i="25"/>
  <c r="G63" i="25" s="1"/>
  <c r="I407" i="25"/>
  <c r="I63" i="25" s="1"/>
  <c r="K407" i="25"/>
  <c r="K63" i="25" s="1"/>
  <c r="M407" i="25"/>
  <c r="M63" i="25" s="1"/>
  <c r="O407" i="25"/>
  <c r="O63" i="25" s="1"/>
  <c r="Q407" i="25"/>
  <c r="Q63" i="25" s="1"/>
  <c r="S407" i="25"/>
  <c r="S63" i="25" s="1"/>
  <c r="F410" i="25"/>
  <c r="F409" i="25"/>
  <c r="H410" i="25"/>
  <c r="H409" i="25"/>
  <c r="J410" i="25"/>
  <c r="J408" i="25" s="1"/>
  <c r="J409" i="25"/>
  <c r="L410" i="25"/>
  <c r="L409" i="25"/>
  <c r="L408" i="25" s="1"/>
  <c r="N410" i="25"/>
  <c r="N409" i="25"/>
  <c r="P410" i="25"/>
  <c r="P409" i="25"/>
  <c r="R410" i="25"/>
  <c r="R409" i="25"/>
  <c r="G359" i="25"/>
  <c r="I359" i="25"/>
  <c r="K359" i="25"/>
  <c r="M359" i="25"/>
  <c r="O359" i="25"/>
  <c r="S359" i="25"/>
  <c r="F427" i="25"/>
  <c r="F429" i="25" s="1"/>
  <c r="F430" i="25" s="1"/>
  <c r="F77" i="25" s="1"/>
  <c r="H427" i="25"/>
  <c r="J427" i="25"/>
  <c r="J429" i="25" s="1"/>
  <c r="J430" i="25" s="1"/>
  <c r="J77" i="25" s="1"/>
  <c r="L427" i="25"/>
  <c r="N427" i="25"/>
  <c r="N429" i="25" s="1"/>
  <c r="N430" i="25" s="1"/>
  <c r="N77" i="25" s="1"/>
  <c r="P427" i="25"/>
  <c r="R427" i="25"/>
  <c r="R429" i="25" s="1"/>
  <c r="R430" i="25" s="1"/>
  <c r="R77" i="25" s="1"/>
  <c r="F407" i="25"/>
  <c r="F63" i="25" s="1"/>
  <c r="H407" i="25"/>
  <c r="H63" i="25" s="1"/>
  <c r="J407" i="25"/>
  <c r="J63" i="25" s="1"/>
  <c r="L407" i="25"/>
  <c r="L63" i="25" s="1"/>
  <c r="N407" i="25"/>
  <c r="N63" i="25" s="1"/>
  <c r="P407" i="25"/>
  <c r="P63" i="25" s="1"/>
  <c r="R407" i="25"/>
  <c r="R63" i="25" s="1"/>
  <c r="F408" i="25"/>
  <c r="N408" i="25"/>
  <c r="S422" i="25"/>
  <c r="S64" i="25" s="1"/>
  <c r="G441" i="25"/>
  <c r="G68" i="25" s="1"/>
  <c r="G69" i="25" s="1"/>
  <c r="I441" i="25"/>
  <c r="K441" i="25"/>
  <c r="M441" i="25"/>
  <c r="O441" i="25"/>
  <c r="O68" i="25" s="1"/>
  <c r="O69" i="25" s="1"/>
  <c r="Q441" i="25"/>
  <c r="G446" i="25"/>
  <c r="I446" i="25"/>
  <c r="K446" i="25"/>
  <c r="K68" i="25" s="1"/>
  <c r="M446" i="25"/>
  <c r="O446" i="25"/>
  <c r="S446" i="25"/>
  <c r="F463" i="25"/>
  <c r="F469" i="25" s="1"/>
  <c r="H463" i="25"/>
  <c r="J463" i="25"/>
  <c r="J469" i="25" s="1"/>
  <c r="L463" i="25"/>
  <c r="L469" i="25" s="1"/>
  <c r="N463" i="25"/>
  <c r="N469" i="25" s="1"/>
  <c r="N59" i="25" s="1"/>
  <c r="P463" i="25"/>
  <c r="R463" i="25"/>
  <c r="R469" i="25"/>
  <c r="F474" i="25"/>
  <c r="H474" i="25"/>
  <c r="J474" i="25"/>
  <c r="L474" i="25"/>
  <c r="N474" i="25"/>
  <c r="P474" i="25"/>
  <c r="R474" i="25"/>
  <c r="F441" i="25"/>
  <c r="F68" i="25" s="1"/>
  <c r="F69" i="25" s="1"/>
  <c r="H441" i="25"/>
  <c r="J441" i="25"/>
  <c r="L441" i="25"/>
  <c r="P441" i="25"/>
  <c r="R441" i="25"/>
  <c r="F446" i="25"/>
  <c r="H446" i="25"/>
  <c r="H68" i="25" s="1"/>
  <c r="J446" i="25"/>
  <c r="L446" i="25"/>
  <c r="L68" i="25" s="1"/>
  <c r="L69" i="25" s="1"/>
  <c r="N446" i="25"/>
  <c r="P446" i="25"/>
  <c r="P68" i="25" s="1"/>
  <c r="P69" i="25" s="1"/>
  <c r="R446" i="25"/>
  <c r="G463" i="25"/>
  <c r="G469" i="25" s="1"/>
  <c r="I463" i="25"/>
  <c r="I469" i="25" s="1"/>
  <c r="I59" i="25" s="1"/>
  <c r="K463" i="25"/>
  <c r="K469" i="25" s="1"/>
  <c r="M463" i="25"/>
  <c r="M469" i="25" s="1"/>
  <c r="O463" i="25"/>
  <c r="O469" i="25" s="1"/>
  <c r="Q463" i="25"/>
  <c r="Q469" i="25" s="1"/>
  <c r="Q59" i="25" s="1"/>
  <c r="S463" i="25"/>
  <c r="S469" i="25" s="1"/>
  <c r="I474" i="25"/>
  <c r="M474" i="25"/>
  <c r="Q474" i="25"/>
  <c r="S474" i="25"/>
  <c r="S28" i="20"/>
  <c r="S27" i="20"/>
  <c r="S367" i="16"/>
  <c r="S24" i="20"/>
  <c r="S363" i="16"/>
  <c r="S22" i="20"/>
  <c r="S366" i="16"/>
  <c r="G187" i="25"/>
  <c r="G42" i="25" s="1"/>
  <c r="G45" i="25" s="1"/>
  <c r="N48" i="25"/>
  <c r="N50" i="25"/>
  <c r="S362" i="16"/>
  <c r="F39" i="25"/>
  <c r="M68" i="25"/>
  <c r="M69" i="25"/>
  <c r="I68" i="25"/>
  <c r="I69" i="25"/>
  <c r="R408" i="25"/>
  <c r="P408" i="25"/>
  <c r="H408" i="25"/>
  <c r="S408" i="25"/>
  <c r="O408" i="25"/>
  <c r="K408" i="25"/>
  <c r="G408" i="25"/>
  <c r="Q187" i="25"/>
  <c r="Q42" i="25" s="1"/>
  <c r="K340" i="27"/>
  <c r="K360" i="27"/>
  <c r="L353" i="27"/>
  <c r="K378" i="27"/>
  <c r="L374" i="27"/>
  <c r="R105" i="25"/>
  <c r="R118" i="25"/>
  <c r="N105" i="25"/>
  <c r="N118" i="25"/>
  <c r="J105" i="25"/>
  <c r="J118" i="25"/>
  <c r="F105" i="25"/>
  <c r="T251" i="25"/>
  <c r="T252" i="25"/>
  <c r="U250" i="25"/>
  <c r="V250" i="25" s="1"/>
  <c r="P48" i="25"/>
  <c r="P50" i="25" s="1"/>
  <c r="L48" i="25"/>
  <c r="L50" i="25" s="1"/>
  <c r="H48" i="25"/>
  <c r="H50" i="25" s="1"/>
  <c r="B38" i="26"/>
  <c r="A39" i="26" s="1"/>
  <c r="D32" i="26"/>
  <c r="B39" i="26" s="1"/>
  <c r="A40" i="26" s="1"/>
  <c r="U362" i="25"/>
  <c r="U160" i="25" s="1"/>
  <c r="G262" i="25"/>
  <c r="P262" i="25"/>
  <c r="L262" i="25"/>
  <c r="R68" i="25"/>
  <c r="J68" i="25"/>
  <c r="J69" i="25" s="1"/>
  <c r="R166" i="25"/>
  <c r="Q476" i="25"/>
  <c r="Q430" i="25"/>
  <c r="Q77" i="25" s="1"/>
  <c r="I430" i="25"/>
  <c r="I77" i="25" s="1"/>
  <c r="T338" i="25"/>
  <c r="U334" i="25"/>
  <c r="V298" i="25"/>
  <c r="R142" i="25"/>
  <c r="R39" i="25"/>
  <c r="N39" i="25"/>
  <c r="J39" i="25"/>
  <c r="R229" i="25"/>
  <c r="R44" i="25"/>
  <c r="P229" i="25"/>
  <c r="N229" i="25"/>
  <c r="N44" i="25"/>
  <c r="L229" i="25"/>
  <c r="J229" i="25"/>
  <c r="J44" i="25"/>
  <c r="H229" i="25"/>
  <c r="S142" i="25"/>
  <c r="S55" i="25" s="1"/>
  <c r="S39" i="25"/>
  <c r="O142" i="25"/>
  <c r="O39" i="25"/>
  <c r="K39" i="25"/>
  <c r="K41" i="25" s="1"/>
  <c r="G142" i="25"/>
  <c r="G39" i="25"/>
  <c r="V246" i="25"/>
  <c r="S118" i="25"/>
  <c r="S116" i="25"/>
  <c r="O116" i="25"/>
  <c r="S191" i="25"/>
  <c r="S193" i="25" s="1"/>
  <c r="T193" i="25" s="1"/>
  <c r="U193" i="25" s="1"/>
  <c r="V193" i="25" s="1"/>
  <c r="V190" i="25"/>
  <c r="W190" i="25" s="1"/>
  <c r="X190" i="25" s="1"/>
  <c r="Y190" i="25" s="1"/>
  <c r="Z190" i="25" s="1"/>
  <c r="AA190" i="25" s="1"/>
  <c r="AB190" i="25" s="1"/>
  <c r="AC190" i="25" s="1"/>
  <c r="Q191" i="25"/>
  <c r="Q193" i="25" s="1"/>
  <c r="M191" i="25"/>
  <c r="M193" i="25" s="1"/>
  <c r="K191" i="25"/>
  <c r="K193" i="25" s="1"/>
  <c r="K194" i="25" s="1"/>
  <c r="G191" i="25"/>
  <c r="G193" i="25"/>
  <c r="V32" i="25"/>
  <c r="W32" i="25" s="1"/>
  <c r="X32" i="25" s="1"/>
  <c r="Y32" i="25" s="1"/>
  <c r="Z32" i="25" s="1"/>
  <c r="AA32" i="25" s="1"/>
  <c r="AB32" i="25" s="1"/>
  <c r="AC32" i="25" s="1"/>
  <c r="Q446" i="25"/>
  <c r="Q68" i="25"/>
  <c r="Q69" i="25"/>
  <c r="S441" i="25"/>
  <c r="S68" i="25"/>
  <c r="S69" i="25"/>
  <c r="Q359" i="25"/>
  <c r="Q283" i="25"/>
  <c r="S258" i="25"/>
  <c r="S261" i="25" s="1"/>
  <c r="Q258" i="25"/>
  <c r="Q261" i="25"/>
  <c r="G382" i="25"/>
  <c r="S269" i="25"/>
  <c r="P153" i="25"/>
  <c r="H153" i="25"/>
  <c r="O149" i="25"/>
  <c r="O153" i="25"/>
  <c r="K149" i="25"/>
  <c r="K153" i="25" s="1"/>
  <c r="K40" i="25" s="1"/>
  <c r="G149" i="25"/>
  <c r="G153" i="25"/>
  <c r="R42" i="25"/>
  <c r="F42" i="25"/>
  <c r="F45" i="25"/>
  <c r="Q153" i="25"/>
  <c r="I153" i="25"/>
  <c r="I40" i="25" s="1"/>
  <c r="R149" i="25"/>
  <c r="R153" i="25"/>
  <c r="N149" i="25"/>
  <c r="J149" i="25"/>
  <c r="J153" i="25" s="1"/>
  <c r="J40" i="25" s="1"/>
  <c r="J41" i="25" s="1"/>
  <c r="F149" i="25"/>
  <c r="F153" i="25" s="1"/>
  <c r="R22" i="25"/>
  <c r="N22" i="25"/>
  <c r="J22" i="25"/>
  <c r="K59" i="25"/>
  <c r="S430" i="25"/>
  <c r="O430" i="25"/>
  <c r="O77" i="25" s="1"/>
  <c r="K430" i="25"/>
  <c r="K77" i="25" s="1"/>
  <c r="G430" i="25"/>
  <c r="G77" i="25" s="1"/>
  <c r="U324" i="25"/>
  <c r="V301" i="25"/>
  <c r="V249" i="25"/>
  <c r="P39" i="25"/>
  <c r="L39" i="25"/>
  <c r="H39" i="25"/>
  <c r="M142" i="25"/>
  <c r="M39" i="25"/>
  <c r="I142" i="25"/>
  <c r="I55" i="25"/>
  <c r="I57" i="25" s="1"/>
  <c r="I39" i="25"/>
  <c r="W237" i="25"/>
  <c r="S229" i="25"/>
  <c r="T229" i="25"/>
  <c r="U229" i="25" s="1"/>
  <c r="V229" i="25" s="1"/>
  <c r="W229" i="25" s="1"/>
  <c r="X229" i="25" s="1"/>
  <c r="Y229" i="25" s="1"/>
  <c r="Z229" i="25" s="1"/>
  <c r="AA229" i="25" s="1"/>
  <c r="AB229" i="25" s="1"/>
  <c r="AC229" i="25" s="1"/>
  <c r="S44" i="25"/>
  <c r="Q229" i="25"/>
  <c r="Q44" i="25"/>
  <c r="O229" i="25"/>
  <c r="O44" i="25"/>
  <c r="M229" i="25"/>
  <c r="M44" i="25"/>
  <c r="K229" i="25"/>
  <c r="K44" i="25"/>
  <c r="I44" i="25"/>
  <c r="G229" i="25"/>
  <c r="G44" i="25"/>
  <c r="M118" i="25"/>
  <c r="I116" i="25"/>
  <c r="T26" i="25"/>
  <c r="U25" i="25"/>
  <c r="U26" i="25" s="1"/>
  <c r="R191" i="25"/>
  <c r="R193" i="25"/>
  <c r="N191" i="25"/>
  <c r="N193" i="25"/>
  <c r="L191" i="25"/>
  <c r="L193" i="25" s="1"/>
  <c r="J193" i="25"/>
  <c r="H191" i="25"/>
  <c r="H193" i="25" s="1"/>
  <c r="F191" i="25"/>
  <c r="F193" i="25"/>
  <c r="F345" i="25"/>
  <c r="Q252" i="25"/>
  <c r="F383" i="25"/>
  <c r="U212" i="25"/>
  <c r="V212" i="25" s="1"/>
  <c r="W212" i="25" s="1"/>
  <c r="X212" i="25" s="1"/>
  <c r="Y212" i="25" s="1"/>
  <c r="Z212" i="25" s="1"/>
  <c r="AA212" i="25" s="1"/>
  <c r="AB212" i="25" s="1"/>
  <c r="AC212" i="25" s="1"/>
  <c r="U232" i="25"/>
  <c r="V232" i="25" s="1"/>
  <c r="W232" i="25" s="1"/>
  <c r="X232" i="25" s="1"/>
  <c r="Y232" i="25" s="1"/>
  <c r="Z232" i="25" s="1"/>
  <c r="AA232" i="25" s="1"/>
  <c r="AB232" i="25" s="1"/>
  <c r="AC232" i="25" s="1"/>
  <c r="L22" i="25"/>
  <c r="AC22" i="20"/>
  <c r="AC24" i="20"/>
  <c r="AC27" i="20"/>
  <c r="AC28" i="20"/>
  <c r="AC50" i="20"/>
  <c r="AC43" i="20"/>
  <c r="AC36" i="20"/>
  <c r="Q45" i="25"/>
  <c r="U251" i="25"/>
  <c r="V251" i="25" s="1"/>
  <c r="M353" i="27"/>
  <c r="L360" i="27"/>
  <c r="N116" i="25"/>
  <c r="R45" i="25"/>
  <c r="U252" i="25"/>
  <c r="J116" i="25"/>
  <c r="R116" i="25"/>
  <c r="I58" i="25"/>
  <c r="Q40" i="25"/>
  <c r="N57" i="25"/>
  <c r="F194" i="25"/>
  <c r="H194" i="25"/>
  <c r="J194" i="25"/>
  <c r="L194" i="25"/>
  <c r="L54" i="25"/>
  <c r="N194" i="25"/>
  <c r="R194" i="25"/>
  <c r="X237" i="25"/>
  <c r="Y237" i="25" s="1"/>
  <c r="Z237" i="25" s="1"/>
  <c r="W249" i="25"/>
  <c r="V324" i="25"/>
  <c r="S77" i="25"/>
  <c r="Q262" i="25"/>
  <c r="G194" i="25"/>
  <c r="G54" i="25" s="1"/>
  <c r="W193" i="25"/>
  <c r="X193" i="25" s="1"/>
  <c r="Y193" i="25" s="1"/>
  <c r="Z193" i="25" s="1"/>
  <c r="AA193" i="25"/>
  <c r="AB193" i="25" s="1"/>
  <c r="AC193" i="25" s="1"/>
  <c r="W298" i="25"/>
  <c r="U338" i="25"/>
  <c r="V334" i="25"/>
  <c r="V25" i="25"/>
  <c r="W25" i="25" s="1"/>
  <c r="W301" i="25"/>
  <c r="S262" i="25"/>
  <c r="W246" i="25"/>
  <c r="X246" i="25" s="1"/>
  <c r="Y246" i="25" s="1"/>
  <c r="I41" i="25"/>
  <c r="J55" i="25"/>
  <c r="R55" i="25"/>
  <c r="R58" i="25" s="1"/>
  <c r="S153" i="25"/>
  <c r="S40" i="25"/>
  <c r="S41" i="25" s="1"/>
  <c r="S18" i="20"/>
  <c r="N29" i="20"/>
  <c r="AC21" i="20"/>
  <c r="R50" i="20"/>
  <c r="R43" i="20"/>
  <c r="S25" i="20"/>
  <c r="S364" i="16"/>
  <c r="S23" i="20"/>
  <c r="S26" i="20" s="1"/>
  <c r="S365" i="16"/>
  <c r="M360" i="27"/>
  <c r="N353" i="27"/>
  <c r="N360" i="27" s="1"/>
  <c r="R57" i="25"/>
  <c r="X301" i="25"/>
  <c r="Y301" i="25" s="1"/>
  <c r="Z301" i="25" s="1"/>
  <c r="AA301" i="25" s="1"/>
  <c r="AB301" i="25" s="1"/>
  <c r="AC301" i="25" s="1"/>
  <c r="X298" i="25"/>
  <c r="X249" i="25"/>
  <c r="S194" i="25"/>
  <c r="S54" i="25" s="1"/>
  <c r="V338" i="25"/>
  <c r="W334" i="25"/>
  <c r="X334" i="25" s="1"/>
  <c r="X338" i="25" s="1"/>
  <c r="W324" i="25"/>
  <c r="X324" i="25" s="1"/>
  <c r="Y324" i="25" s="1"/>
  <c r="Z324" i="25" s="1"/>
  <c r="AA324" i="25" s="1"/>
  <c r="AB324" i="25" s="1"/>
  <c r="AC324" i="25" s="1"/>
  <c r="AC363" i="16"/>
  <c r="AC366" i="16"/>
  <c r="AC467" i="16"/>
  <c r="AC389" i="16"/>
  <c r="AC390" i="16"/>
  <c r="AC391" i="16"/>
  <c r="AC392" i="16"/>
  <c r="AC159" i="16" s="1"/>
  <c r="D50" i="7"/>
  <c r="C50" i="7"/>
  <c r="T242" i="25"/>
  <c r="U242" i="25" s="1"/>
  <c r="V242" i="25" s="1"/>
  <c r="W242" i="25" s="1"/>
  <c r="X242" i="25" s="1"/>
  <c r="Y242" i="25" s="1"/>
  <c r="Z242" i="25" s="1"/>
  <c r="AA242" i="25" s="1"/>
  <c r="AB242" i="25" s="1"/>
  <c r="AC242" i="25" s="1"/>
  <c r="D54" i="7"/>
  <c r="C54" i="7"/>
  <c r="T322" i="25" s="1"/>
  <c r="S446" i="16"/>
  <c r="S407" i="16"/>
  <c r="S410" i="16"/>
  <c r="S467" i="16"/>
  <c r="S307" i="16"/>
  <c r="S267" i="16"/>
  <c r="S252" i="16"/>
  <c r="S236" i="16"/>
  <c r="S239" i="16" s="1"/>
  <c r="S220" i="16"/>
  <c r="S213" i="16"/>
  <c r="S206" i="16"/>
  <c r="S159" i="16"/>
  <c r="S184" i="16"/>
  <c r="S255" i="16"/>
  <c r="S286" i="16"/>
  <c r="S265" i="16"/>
  <c r="S140" i="16"/>
  <c r="S472" i="16"/>
  <c r="S115" i="16"/>
  <c r="S51" i="16"/>
  <c r="T241" i="25"/>
  <c r="U241" i="25" s="1"/>
  <c r="U43" i="25" s="1"/>
  <c r="T320" i="25"/>
  <c r="S141" i="16"/>
  <c r="S142" i="16" s="1"/>
  <c r="S287" i="16"/>
  <c r="S288" i="16" s="1"/>
  <c r="O353" i="27"/>
  <c r="P353" i="27" s="1"/>
  <c r="P360" i="27" s="1"/>
  <c r="S187" i="16"/>
  <c r="S189" i="16"/>
  <c r="S441" i="16"/>
  <c r="S337" i="16"/>
  <c r="S409" i="16"/>
  <c r="S422" i="16"/>
  <c r="S100" i="16"/>
  <c r="S359" i="16"/>
  <c r="W338" i="25"/>
  <c r="Y298" i="25"/>
  <c r="Z298" i="25" s="1"/>
  <c r="AA298" i="25" s="1"/>
  <c r="AB298" i="25" s="1"/>
  <c r="S331" i="16"/>
  <c r="S283" i="16"/>
  <c r="S474" i="16"/>
  <c r="S130" i="16"/>
  <c r="S149" i="16"/>
  <c r="S190" i="16"/>
  <c r="O360" i="27"/>
  <c r="AA237" i="25"/>
  <c r="AB237" i="25" s="1"/>
  <c r="AC237" i="25" s="1"/>
  <c r="Z246" i="25"/>
  <c r="AA246" i="25" s="1"/>
  <c r="Y334" i="25"/>
  <c r="S153" i="16"/>
  <c r="Q353" i="27"/>
  <c r="R353" i="27" s="1"/>
  <c r="AA295" i="25"/>
  <c r="Y338" i="25"/>
  <c r="Q360" i="27"/>
  <c r="AB246" i="25"/>
  <c r="AC246" i="25" s="1"/>
  <c r="AB295" i="25"/>
  <c r="AC295" i="25" s="1"/>
  <c r="AC298" i="25"/>
  <c r="S19" i="16"/>
  <c r="S21" i="16"/>
  <c r="S13" i="16"/>
  <c r="B428" i="16"/>
  <c r="B349" i="16"/>
  <c r="T389" i="16"/>
  <c r="U389" i="16"/>
  <c r="V389" i="16"/>
  <c r="W389" i="16"/>
  <c r="X389" i="16"/>
  <c r="Y389" i="16"/>
  <c r="Z389" i="16"/>
  <c r="AA389" i="16"/>
  <c r="AB389" i="16"/>
  <c r="T390" i="16"/>
  <c r="U390" i="16"/>
  <c r="V390" i="16"/>
  <c r="W390" i="16"/>
  <c r="X390" i="16"/>
  <c r="Y390" i="16"/>
  <c r="Z390" i="16"/>
  <c r="AA390" i="16"/>
  <c r="AB390" i="16"/>
  <c r="T391" i="16"/>
  <c r="U391" i="16"/>
  <c r="V391" i="16"/>
  <c r="W391" i="16"/>
  <c r="X391" i="16"/>
  <c r="Y391" i="16"/>
  <c r="Z391" i="16"/>
  <c r="AA391" i="16"/>
  <c r="AB391" i="16"/>
  <c r="T392" i="16"/>
  <c r="U392" i="16"/>
  <c r="V392" i="16"/>
  <c r="W392" i="16"/>
  <c r="X392" i="16"/>
  <c r="Y392" i="16"/>
  <c r="Z392" i="16"/>
  <c r="AA392" i="16"/>
  <c r="AB392" i="16"/>
  <c r="AC26" i="5"/>
  <c r="S19" i="5"/>
  <c r="S26" i="5"/>
  <c r="R19" i="5"/>
  <c r="Q19" i="5"/>
  <c r="P19" i="5"/>
  <c r="O19" i="5"/>
  <c r="N19" i="5"/>
  <c r="N26" i="5"/>
  <c r="M19" i="5"/>
  <c r="N12" i="5"/>
  <c r="N16" i="5"/>
  <c r="AC16" i="5"/>
  <c r="N11" i="4"/>
  <c r="T28" i="20"/>
  <c r="U28" i="20"/>
  <c r="V28" i="20"/>
  <c r="W28" i="20"/>
  <c r="X28" i="20"/>
  <c r="Y28" i="20"/>
  <c r="Z28" i="20"/>
  <c r="AA28" i="20"/>
  <c r="AB28" i="20"/>
  <c r="O28" i="20"/>
  <c r="P28" i="20"/>
  <c r="Q28" i="20"/>
  <c r="R28" i="20"/>
  <c r="S29" i="20" s="1"/>
  <c r="T22" i="20"/>
  <c r="T366" i="16"/>
  <c r="T467" i="16"/>
  <c r="U22" i="20"/>
  <c r="U366" i="16"/>
  <c r="U467" i="16"/>
  <c r="V22" i="20"/>
  <c r="V366" i="16"/>
  <c r="V467" i="16" s="1"/>
  <c r="W22" i="20"/>
  <c r="W366" i="16"/>
  <c r="W467" i="16"/>
  <c r="X22" i="20"/>
  <c r="X366" i="16"/>
  <c r="X467" i="16"/>
  <c r="Y22" i="20"/>
  <c r="Y366" i="16"/>
  <c r="Y467" i="16"/>
  <c r="Z22" i="20"/>
  <c r="Z366" i="16"/>
  <c r="Z467" i="16" s="1"/>
  <c r="AA22" i="20"/>
  <c r="AA366" i="16"/>
  <c r="AA467" i="16"/>
  <c r="AB22" i="20"/>
  <c r="AB366" i="16"/>
  <c r="AB467" i="16" s="1"/>
  <c r="T24" i="20"/>
  <c r="T363" i="16"/>
  <c r="U24" i="20"/>
  <c r="U363" i="16"/>
  <c r="V24" i="20"/>
  <c r="V363" i="16"/>
  <c r="W24" i="20"/>
  <c r="W363" i="16"/>
  <c r="X24" i="20"/>
  <c r="X363" i="16"/>
  <c r="Y24" i="20"/>
  <c r="Y363" i="16"/>
  <c r="Z24" i="20"/>
  <c r="Z363" i="16"/>
  <c r="AA24" i="20"/>
  <c r="AA363" i="16"/>
  <c r="AB24" i="20"/>
  <c r="AB363" i="16"/>
  <c r="T27" i="20"/>
  <c r="U27" i="20"/>
  <c r="V27" i="20"/>
  <c r="W27" i="20"/>
  <c r="X27" i="20"/>
  <c r="Y27" i="20"/>
  <c r="Z27" i="20"/>
  <c r="AA27" i="20"/>
  <c r="AB27" i="20"/>
  <c r="O27" i="20"/>
  <c r="O367" i="16"/>
  <c r="P27" i="20"/>
  <c r="P367" i="16"/>
  <c r="Q27" i="20"/>
  <c r="Q367" i="16"/>
  <c r="R27" i="20"/>
  <c r="R367" i="16"/>
  <c r="O24" i="20"/>
  <c r="O363" i="16"/>
  <c r="P24" i="20"/>
  <c r="P363" i="16"/>
  <c r="Q24" i="20"/>
  <c r="Q363" i="16"/>
  <c r="R24" i="20"/>
  <c r="R363" i="16"/>
  <c r="O22" i="20"/>
  <c r="O366" i="16"/>
  <c r="P22" i="20"/>
  <c r="P366" i="16"/>
  <c r="Q22" i="20"/>
  <c r="Q366" i="16"/>
  <c r="R22" i="20"/>
  <c r="R366" i="16"/>
  <c r="AB50" i="20"/>
  <c r="AA50" i="20"/>
  <c r="Z50" i="20"/>
  <c r="Y50" i="20"/>
  <c r="X50" i="20"/>
  <c r="W50" i="20"/>
  <c r="V50" i="20"/>
  <c r="U50" i="20"/>
  <c r="T50" i="20"/>
  <c r="S50" i="20"/>
  <c r="Q50" i="20"/>
  <c r="P50" i="20"/>
  <c r="O50" i="20"/>
  <c r="R8" i="20"/>
  <c r="F21" i="20"/>
  <c r="G21" i="20"/>
  <c r="H21" i="20"/>
  <c r="I21" i="20"/>
  <c r="J21" i="20"/>
  <c r="K21" i="20"/>
  <c r="L21" i="20"/>
  <c r="M21" i="20"/>
  <c r="N21" i="20"/>
  <c r="O21" i="20"/>
  <c r="P21" i="20"/>
  <c r="Q21" i="20"/>
  <c r="R21" i="20"/>
  <c r="S21" i="20"/>
  <c r="T21" i="20"/>
  <c r="U21" i="20"/>
  <c r="V21" i="20"/>
  <c r="W21" i="20"/>
  <c r="X21" i="20"/>
  <c r="Y21" i="20"/>
  <c r="Z21" i="20"/>
  <c r="AA21" i="20"/>
  <c r="AB21" i="20"/>
  <c r="E21" i="20"/>
  <c r="A21" i="20"/>
  <c r="P8" i="20"/>
  <c r="Q8" i="20"/>
  <c r="B49" i="16"/>
  <c r="O9" i="20"/>
  <c r="O462" i="16"/>
  <c r="O223" i="16"/>
  <c r="O103" i="16"/>
  <c r="O475" i="16"/>
  <c r="F14" i="4"/>
  <c r="G14" i="4"/>
  <c r="H14" i="4"/>
  <c r="I14" i="4"/>
  <c r="J14" i="4"/>
  <c r="K14" i="4"/>
  <c r="L14" i="4"/>
  <c r="M14" i="4"/>
  <c r="N14" i="4"/>
  <c r="O14" i="4"/>
  <c r="P14" i="4"/>
  <c r="Q14" i="4"/>
  <c r="R14" i="4"/>
  <c r="S14" i="4"/>
  <c r="T14" i="4"/>
  <c r="U14" i="4"/>
  <c r="V14" i="4"/>
  <c r="W14" i="4"/>
  <c r="X14" i="4"/>
  <c r="Y14" i="4"/>
  <c r="Z14" i="4"/>
  <c r="AA14" i="4"/>
  <c r="AB14" i="4"/>
  <c r="AC14" i="4"/>
  <c r="AD14" i="4"/>
  <c r="AE14" i="4"/>
  <c r="AF14" i="4"/>
  <c r="AG14" i="4"/>
  <c r="AH14" i="4"/>
  <c r="AI14" i="4"/>
  <c r="AJ14" i="4"/>
  <c r="AK14" i="4"/>
  <c r="AL14" i="4"/>
  <c r="AM14" i="4"/>
  <c r="AN14" i="4"/>
  <c r="AO14" i="4"/>
  <c r="AP14" i="4"/>
  <c r="AQ14" i="4"/>
  <c r="AR14" i="4"/>
  <c r="AS14" i="4"/>
  <c r="AT14" i="4"/>
  <c r="AU14" i="4"/>
  <c r="AV14" i="4"/>
  <c r="AW14" i="4"/>
  <c r="AX14" i="4"/>
  <c r="AY14" i="4"/>
  <c r="AZ14" i="4"/>
  <c r="BA14" i="4"/>
  <c r="BB14" i="4"/>
  <c r="BC14" i="4"/>
  <c r="BD14" i="4"/>
  <c r="BE14" i="4"/>
  <c r="BF14" i="4"/>
  <c r="BG14" i="4"/>
  <c r="BH14" i="4"/>
  <c r="BI14" i="4"/>
  <c r="BJ14" i="4"/>
  <c r="BJ15" i="4" s="1"/>
  <c r="BK14" i="4"/>
  <c r="BL14" i="4"/>
  <c r="BM14" i="4"/>
  <c r="BN14" i="4"/>
  <c r="BN15" i="4" s="1"/>
  <c r="BO14" i="4"/>
  <c r="BO15" i="4" s="1"/>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AG13" i="4"/>
  <c r="AH13" i="4"/>
  <c r="AI13" i="4"/>
  <c r="AJ13" i="4"/>
  <c r="AK13" i="4"/>
  <c r="AL13" i="4"/>
  <c r="AM13" i="4"/>
  <c r="AN13" i="4"/>
  <c r="AO13" i="4"/>
  <c r="AP13" i="4"/>
  <c r="AQ13" i="4"/>
  <c r="AR13" i="4"/>
  <c r="AS13" i="4"/>
  <c r="AT13" i="4"/>
  <c r="AU13" i="4"/>
  <c r="AV13" i="4"/>
  <c r="AW13" i="4"/>
  <c r="AX13" i="4"/>
  <c r="AY13" i="4"/>
  <c r="AZ13" i="4"/>
  <c r="BA13" i="4"/>
  <c r="BB13" i="4"/>
  <c r="BC13" i="4"/>
  <c r="BD13" i="4"/>
  <c r="BE13" i="4"/>
  <c r="BF13" i="4"/>
  <c r="BG13" i="4"/>
  <c r="BH13" i="4"/>
  <c r="BI13" i="4"/>
  <c r="BI15" i="4" s="1"/>
  <c r="BJ13" i="4"/>
  <c r="BK13" i="4"/>
  <c r="BL13" i="4"/>
  <c r="BL15" i="4"/>
  <c r="BM13" i="4"/>
  <c r="BM15" i="4" s="1"/>
  <c r="BN13" i="4"/>
  <c r="BO13" i="4"/>
  <c r="E13" i="4"/>
  <c r="BI84" i="4"/>
  <c r="BJ84" i="4"/>
  <c r="BK84" i="4"/>
  <c r="BL84" i="4"/>
  <c r="BM84" i="4"/>
  <c r="BN84" i="4"/>
  <c r="BO84" i="4"/>
  <c r="BI153" i="4"/>
  <c r="BJ153" i="4"/>
  <c r="BK153" i="4"/>
  <c r="BL153" i="4"/>
  <c r="BM153" i="4"/>
  <c r="BN153" i="4"/>
  <c r="BO153" i="4"/>
  <c r="G244" i="2"/>
  <c r="H244" i="2"/>
  <c r="I244" i="2"/>
  <c r="J244" i="2"/>
  <c r="K244" i="2"/>
  <c r="L244" i="2"/>
  <c r="M244" i="2"/>
  <c r="N244" i="2"/>
  <c r="O244" i="2"/>
  <c r="P244" i="2"/>
  <c r="Q244" i="2"/>
  <c r="R244" i="2"/>
  <c r="S244" i="2"/>
  <c r="T244" i="2"/>
  <c r="U244" i="2"/>
  <c r="V244" i="2"/>
  <c r="W244" i="2"/>
  <c r="X244" i="2"/>
  <c r="Y244" i="2"/>
  <c r="Z244" i="2"/>
  <c r="AA244" i="2"/>
  <c r="AB244" i="2"/>
  <c r="AC244" i="2"/>
  <c r="AD244" i="2"/>
  <c r="AE244" i="2"/>
  <c r="AF244" i="2"/>
  <c r="AG244" i="2"/>
  <c r="AH244" i="2"/>
  <c r="AI244" i="2"/>
  <c r="AJ244" i="2"/>
  <c r="AK244" i="2"/>
  <c r="AL244" i="2"/>
  <c r="AM244" i="2"/>
  <c r="AN244" i="2"/>
  <c r="AO244" i="2"/>
  <c r="AP244" i="2"/>
  <c r="AQ244" i="2"/>
  <c r="AR244" i="2"/>
  <c r="AS244" i="2"/>
  <c r="AT244" i="2"/>
  <c r="AU244" i="2"/>
  <c r="AV244" i="2"/>
  <c r="AW244" i="2"/>
  <c r="AX244" i="2"/>
  <c r="AY244" i="2"/>
  <c r="AZ244" i="2"/>
  <c r="BA244" i="2"/>
  <c r="BB244" i="2"/>
  <c r="BC244" i="2"/>
  <c r="BD244" i="2"/>
  <c r="BE244" i="2"/>
  <c r="BF244" i="2"/>
  <c r="BG244" i="2"/>
  <c r="BH244" i="2"/>
  <c r="BI244" i="2"/>
  <c r="BJ244" i="2"/>
  <c r="BK244" i="2"/>
  <c r="BL244" i="2"/>
  <c r="BM244" i="2"/>
  <c r="BN244" i="2"/>
  <c r="BO244" i="2"/>
  <c r="G245" i="2"/>
  <c r="H245" i="2"/>
  <c r="I245" i="2"/>
  <c r="J245" i="2"/>
  <c r="K245" i="2"/>
  <c r="L245" i="2"/>
  <c r="M245" i="2"/>
  <c r="N245" i="2"/>
  <c r="O245" i="2"/>
  <c r="P245" i="2"/>
  <c r="Q245" i="2"/>
  <c r="R245" i="2"/>
  <c r="S245" i="2"/>
  <c r="T245" i="2"/>
  <c r="U245" i="2"/>
  <c r="V245" i="2"/>
  <c r="W245" i="2"/>
  <c r="X245" i="2"/>
  <c r="Y245" i="2"/>
  <c r="Z245" i="2"/>
  <c r="AA245" i="2"/>
  <c r="AB245" i="2"/>
  <c r="AC245" i="2"/>
  <c r="AD245" i="2"/>
  <c r="AE245" i="2"/>
  <c r="AF245" i="2"/>
  <c r="AG245" i="2"/>
  <c r="AH245" i="2"/>
  <c r="AI245" i="2"/>
  <c r="AJ245" i="2"/>
  <c r="AK245" i="2"/>
  <c r="AL245" i="2"/>
  <c r="AM245" i="2"/>
  <c r="AN245" i="2"/>
  <c r="AO245" i="2"/>
  <c r="AP245" i="2"/>
  <c r="AQ245" i="2"/>
  <c r="AR245" i="2"/>
  <c r="AS245" i="2"/>
  <c r="AT245" i="2"/>
  <c r="AU245" i="2"/>
  <c r="AV245" i="2"/>
  <c r="AW245" i="2"/>
  <c r="AX245" i="2"/>
  <c r="AY245" i="2"/>
  <c r="AZ245" i="2"/>
  <c r="BA245" i="2"/>
  <c r="BB245" i="2"/>
  <c r="BC245" i="2"/>
  <c r="BD245" i="2"/>
  <c r="BE245" i="2"/>
  <c r="BF245" i="2"/>
  <c r="BG245" i="2"/>
  <c r="BH245" i="2"/>
  <c r="BI245" i="2"/>
  <c r="BJ245" i="2"/>
  <c r="BK245" i="2"/>
  <c r="BL245" i="2"/>
  <c r="BM245" i="2"/>
  <c r="BN245" i="2"/>
  <c r="BO245" i="2"/>
  <c r="F245" i="2"/>
  <c r="G227" i="2"/>
  <c r="H227" i="2"/>
  <c r="I227" i="2"/>
  <c r="J227" i="2"/>
  <c r="K227" i="2"/>
  <c r="L227" i="2"/>
  <c r="M227" i="2"/>
  <c r="N227" i="2"/>
  <c r="O227" i="2"/>
  <c r="P227" i="2"/>
  <c r="Q227" i="2"/>
  <c r="R227" i="2"/>
  <c r="S227" i="2"/>
  <c r="T227" i="2"/>
  <c r="U227" i="2"/>
  <c r="V227" i="2"/>
  <c r="W227" i="2"/>
  <c r="X227" i="2"/>
  <c r="Y227" i="2"/>
  <c r="Z227" i="2"/>
  <c r="AA227" i="2"/>
  <c r="AB227" i="2"/>
  <c r="AC227" i="2"/>
  <c r="AD227" i="2"/>
  <c r="AE227" i="2"/>
  <c r="AF227" i="2"/>
  <c r="AG227" i="2"/>
  <c r="AH227" i="2"/>
  <c r="AI227" i="2"/>
  <c r="AJ227" i="2"/>
  <c r="AK227" i="2"/>
  <c r="AL227" i="2"/>
  <c r="AM227" i="2"/>
  <c r="AN227" i="2"/>
  <c r="AO227" i="2"/>
  <c r="AP227" i="2"/>
  <c r="AQ227" i="2"/>
  <c r="AR227" i="2"/>
  <c r="AS227" i="2"/>
  <c r="AT227" i="2"/>
  <c r="AU227" i="2"/>
  <c r="AV227" i="2"/>
  <c r="AW227" i="2"/>
  <c r="AX227" i="2"/>
  <c r="AY227" i="2"/>
  <c r="AZ227" i="2"/>
  <c r="BA227" i="2"/>
  <c r="BB227" i="2"/>
  <c r="BC227" i="2"/>
  <c r="BD227" i="2"/>
  <c r="BE227" i="2"/>
  <c r="BF227" i="2"/>
  <c r="BG227" i="2"/>
  <c r="BH227" i="2"/>
  <c r="BI227" i="2"/>
  <c r="BJ227" i="2"/>
  <c r="BK227" i="2"/>
  <c r="BL227" i="2"/>
  <c r="BM227" i="2"/>
  <c r="BN227" i="2"/>
  <c r="BO227" i="2"/>
  <c r="G228" i="2"/>
  <c r="H228" i="2"/>
  <c r="I228" i="2"/>
  <c r="J228" i="2"/>
  <c r="K228" i="2"/>
  <c r="L228" i="2"/>
  <c r="M228" i="2"/>
  <c r="N228" i="2"/>
  <c r="O228" i="2"/>
  <c r="P228" i="2"/>
  <c r="Q228" i="2"/>
  <c r="R228" i="2"/>
  <c r="S228" i="2"/>
  <c r="T228" i="2"/>
  <c r="U228" i="2"/>
  <c r="V228" i="2"/>
  <c r="W228" i="2"/>
  <c r="X228" i="2"/>
  <c r="Y228" i="2"/>
  <c r="Z228" i="2"/>
  <c r="AA228" i="2"/>
  <c r="AB228" i="2"/>
  <c r="AC228" i="2"/>
  <c r="AD228" i="2"/>
  <c r="AE228" i="2"/>
  <c r="AF228" i="2"/>
  <c r="AG228" i="2"/>
  <c r="AH228" i="2"/>
  <c r="AI228" i="2"/>
  <c r="AJ228" i="2"/>
  <c r="AK228" i="2"/>
  <c r="AL228" i="2"/>
  <c r="AM228" i="2"/>
  <c r="AN228" i="2"/>
  <c r="AO228" i="2"/>
  <c r="AP228" i="2"/>
  <c r="AQ228" i="2"/>
  <c r="AR228" i="2"/>
  <c r="AS228" i="2"/>
  <c r="AT228" i="2"/>
  <c r="AU228" i="2"/>
  <c r="AV228" i="2"/>
  <c r="AW228" i="2"/>
  <c r="AX228" i="2"/>
  <c r="AY228" i="2"/>
  <c r="AZ228" i="2"/>
  <c r="BA228" i="2"/>
  <c r="BB228" i="2"/>
  <c r="BC228" i="2"/>
  <c r="BD228" i="2"/>
  <c r="BE228" i="2"/>
  <c r="BF228" i="2"/>
  <c r="BG228" i="2"/>
  <c r="BH228" i="2"/>
  <c r="BI228" i="2"/>
  <c r="BJ228" i="2"/>
  <c r="BK228" i="2"/>
  <c r="BL228" i="2"/>
  <c r="BM228" i="2"/>
  <c r="BN228" i="2"/>
  <c r="BO228" i="2"/>
  <c r="G229" i="2"/>
  <c r="H229" i="2"/>
  <c r="I229" i="2"/>
  <c r="J229" i="2"/>
  <c r="K229" i="2"/>
  <c r="L229" i="2"/>
  <c r="M229" i="2"/>
  <c r="N229" i="2"/>
  <c r="O229" i="2"/>
  <c r="P229" i="2"/>
  <c r="Q229" i="2"/>
  <c r="R229" i="2"/>
  <c r="S229" i="2"/>
  <c r="T229" i="2"/>
  <c r="U229" i="2"/>
  <c r="V229" i="2"/>
  <c r="W229" i="2"/>
  <c r="X229" i="2"/>
  <c r="Y229" i="2"/>
  <c r="Z229" i="2"/>
  <c r="AA229" i="2"/>
  <c r="AB229" i="2"/>
  <c r="AC229" i="2"/>
  <c r="AD229" i="2"/>
  <c r="AE229" i="2"/>
  <c r="AF229" i="2"/>
  <c r="AG229" i="2"/>
  <c r="AH229" i="2"/>
  <c r="AI229" i="2"/>
  <c r="AJ229" i="2"/>
  <c r="AK229" i="2"/>
  <c r="AL229" i="2"/>
  <c r="AM229" i="2"/>
  <c r="AN229" i="2"/>
  <c r="AO229" i="2"/>
  <c r="AP229" i="2"/>
  <c r="AQ229" i="2"/>
  <c r="AR229" i="2"/>
  <c r="AS229" i="2"/>
  <c r="AT229" i="2"/>
  <c r="AU229" i="2"/>
  <c r="AV229" i="2"/>
  <c r="AW229" i="2"/>
  <c r="AX229" i="2"/>
  <c r="AY229" i="2"/>
  <c r="AZ229" i="2"/>
  <c r="BA229" i="2"/>
  <c r="BB229" i="2"/>
  <c r="BC229" i="2"/>
  <c r="BD229" i="2"/>
  <c r="BE229" i="2"/>
  <c r="BF229" i="2"/>
  <c r="BG229" i="2"/>
  <c r="BH229" i="2"/>
  <c r="BI229" i="2"/>
  <c r="BJ229" i="2"/>
  <c r="BK229" i="2"/>
  <c r="BL229" i="2"/>
  <c r="BM229" i="2"/>
  <c r="BN229" i="2"/>
  <c r="BO229" i="2"/>
  <c r="G230" i="2"/>
  <c r="H230" i="2"/>
  <c r="I230" i="2"/>
  <c r="J230" i="2"/>
  <c r="K230" i="2"/>
  <c r="L230" i="2"/>
  <c r="M230" i="2"/>
  <c r="N230" i="2"/>
  <c r="O230" i="2"/>
  <c r="P230" i="2"/>
  <c r="Q230" i="2"/>
  <c r="R230" i="2"/>
  <c r="S230" i="2"/>
  <c r="T230" i="2"/>
  <c r="U230" i="2"/>
  <c r="V230" i="2"/>
  <c r="W230" i="2"/>
  <c r="X230" i="2"/>
  <c r="Y230" i="2"/>
  <c r="Z230" i="2"/>
  <c r="AA230" i="2"/>
  <c r="AB230" i="2"/>
  <c r="AC230" i="2"/>
  <c r="AD230" i="2"/>
  <c r="AE230" i="2"/>
  <c r="AF230" i="2"/>
  <c r="AG230" i="2"/>
  <c r="AH230" i="2"/>
  <c r="AI230" i="2"/>
  <c r="AJ230" i="2"/>
  <c r="AK230" i="2"/>
  <c r="AL230" i="2"/>
  <c r="AM230" i="2"/>
  <c r="AN230" i="2"/>
  <c r="AO230" i="2"/>
  <c r="AP230" i="2"/>
  <c r="AQ230" i="2"/>
  <c r="AR230" i="2"/>
  <c r="AS230" i="2"/>
  <c r="AT230" i="2"/>
  <c r="AU230" i="2"/>
  <c r="AV230" i="2"/>
  <c r="AW230" i="2"/>
  <c r="AX230" i="2"/>
  <c r="AY230" i="2"/>
  <c r="AZ230" i="2"/>
  <c r="BA230" i="2"/>
  <c r="BB230" i="2"/>
  <c r="BC230" i="2"/>
  <c r="BD230" i="2"/>
  <c r="BE230" i="2"/>
  <c r="BF230" i="2"/>
  <c r="BG230" i="2"/>
  <c r="BH230" i="2"/>
  <c r="BI230" i="2"/>
  <c r="BJ230" i="2"/>
  <c r="BK230" i="2"/>
  <c r="BL230" i="2"/>
  <c r="BM230" i="2"/>
  <c r="BN230" i="2"/>
  <c r="BO230" i="2"/>
  <c r="G231" i="2"/>
  <c r="H231" i="2"/>
  <c r="I231" i="2"/>
  <c r="J231" i="2"/>
  <c r="K231" i="2"/>
  <c r="L231" i="2"/>
  <c r="M231" i="2"/>
  <c r="N231" i="2"/>
  <c r="O231" i="2"/>
  <c r="P231" i="2"/>
  <c r="Q231" i="2"/>
  <c r="R231" i="2"/>
  <c r="S231" i="2"/>
  <c r="T231" i="2"/>
  <c r="U231" i="2"/>
  <c r="V231" i="2"/>
  <c r="W231" i="2"/>
  <c r="X231" i="2"/>
  <c r="Y231" i="2"/>
  <c r="Z231" i="2"/>
  <c r="AA231" i="2"/>
  <c r="AB231" i="2"/>
  <c r="AC231" i="2"/>
  <c r="AD231" i="2"/>
  <c r="AE231" i="2"/>
  <c r="AF231" i="2"/>
  <c r="AG231" i="2"/>
  <c r="AH231" i="2"/>
  <c r="AI231" i="2"/>
  <c r="AJ231" i="2"/>
  <c r="AK231" i="2"/>
  <c r="AL231" i="2"/>
  <c r="AM231" i="2"/>
  <c r="AN231" i="2"/>
  <c r="AO231" i="2"/>
  <c r="AP231" i="2"/>
  <c r="AQ231" i="2"/>
  <c r="AR231" i="2"/>
  <c r="AS231" i="2"/>
  <c r="AT231" i="2"/>
  <c r="AU231" i="2"/>
  <c r="AV231" i="2"/>
  <c r="AW231" i="2"/>
  <c r="AX231" i="2"/>
  <c r="AY231" i="2"/>
  <c r="AZ231" i="2"/>
  <c r="BA231" i="2"/>
  <c r="BB231" i="2"/>
  <c r="BC231" i="2"/>
  <c r="BD231" i="2"/>
  <c r="BE231" i="2"/>
  <c r="BF231" i="2"/>
  <c r="BG231" i="2"/>
  <c r="BH231" i="2"/>
  <c r="BI231" i="2"/>
  <c r="BJ231" i="2"/>
  <c r="BK231" i="2"/>
  <c r="BL231" i="2"/>
  <c r="BM231" i="2"/>
  <c r="BN231" i="2"/>
  <c r="BO231" i="2"/>
  <c r="G232" i="2"/>
  <c r="H232" i="2"/>
  <c r="I232" i="2"/>
  <c r="J232" i="2"/>
  <c r="K232" i="2"/>
  <c r="L232" i="2"/>
  <c r="M232" i="2"/>
  <c r="N232" i="2"/>
  <c r="O232" i="2"/>
  <c r="P232" i="2"/>
  <c r="Q232" i="2"/>
  <c r="R232" i="2"/>
  <c r="S232" i="2"/>
  <c r="T232" i="2"/>
  <c r="U232" i="2"/>
  <c r="V232" i="2"/>
  <c r="W232" i="2"/>
  <c r="X232" i="2"/>
  <c r="Y232" i="2"/>
  <c r="Z232" i="2"/>
  <c r="AA232" i="2"/>
  <c r="AB232" i="2"/>
  <c r="AC232" i="2"/>
  <c r="AD232" i="2"/>
  <c r="AE232" i="2"/>
  <c r="AF232" i="2"/>
  <c r="AG232" i="2"/>
  <c r="AH232" i="2"/>
  <c r="AI232" i="2"/>
  <c r="AJ232" i="2"/>
  <c r="AK232" i="2"/>
  <c r="AL232" i="2"/>
  <c r="AM232" i="2"/>
  <c r="AN232" i="2"/>
  <c r="AO232" i="2"/>
  <c r="AP232" i="2"/>
  <c r="AQ232" i="2"/>
  <c r="AR232" i="2"/>
  <c r="AS232" i="2"/>
  <c r="AT232" i="2"/>
  <c r="AU232" i="2"/>
  <c r="AV232" i="2"/>
  <c r="AW232" i="2"/>
  <c r="AX232" i="2"/>
  <c r="AY232" i="2"/>
  <c r="AZ232" i="2"/>
  <c r="BA232" i="2"/>
  <c r="BB232" i="2"/>
  <c r="BC232" i="2"/>
  <c r="BD232" i="2"/>
  <c r="BE232" i="2"/>
  <c r="BF232" i="2"/>
  <c r="BG232" i="2"/>
  <c r="BH232" i="2"/>
  <c r="BI232" i="2"/>
  <c r="BJ232" i="2"/>
  <c r="BK232" i="2"/>
  <c r="BL232" i="2"/>
  <c r="BM232" i="2"/>
  <c r="BN232" i="2"/>
  <c r="BO232" i="2"/>
  <c r="G233" i="2"/>
  <c r="H233" i="2"/>
  <c r="I233" i="2"/>
  <c r="J233" i="2"/>
  <c r="K233" i="2"/>
  <c r="L233" i="2"/>
  <c r="M233" i="2"/>
  <c r="N233" i="2"/>
  <c r="O233" i="2"/>
  <c r="P233" i="2"/>
  <c r="Q233" i="2"/>
  <c r="R233" i="2"/>
  <c r="S233" i="2"/>
  <c r="T233" i="2"/>
  <c r="U233" i="2"/>
  <c r="V233" i="2"/>
  <c r="W233" i="2"/>
  <c r="X233" i="2"/>
  <c r="Y233" i="2"/>
  <c r="Z233" i="2"/>
  <c r="AA233" i="2"/>
  <c r="AB233" i="2"/>
  <c r="AC233" i="2"/>
  <c r="AD233" i="2"/>
  <c r="AE233" i="2"/>
  <c r="AF233" i="2"/>
  <c r="AG233" i="2"/>
  <c r="AH233" i="2"/>
  <c r="AI233" i="2"/>
  <c r="AJ233" i="2"/>
  <c r="AK233" i="2"/>
  <c r="AL233" i="2"/>
  <c r="AM233" i="2"/>
  <c r="AN233" i="2"/>
  <c r="AO233" i="2"/>
  <c r="AP233" i="2"/>
  <c r="AQ233" i="2"/>
  <c r="AR233" i="2"/>
  <c r="AS233" i="2"/>
  <c r="AT233" i="2"/>
  <c r="AU233" i="2"/>
  <c r="AV233" i="2"/>
  <c r="AW233" i="2"/>
  <c r="AX233" i="2"/>
  <c r="AY233" i="2"/>
  <c r="AZ233" i="2"/>
  <c r="BA233" i="2"/>
  <c r="BB233" i="2"/>
  <c r="BC233" i="2"/>
  <c r="BD233" i="2"/>
  <c r="BE233" i="2"/>
  <c r="BF233" i="2"/>
  <c r="BG233" i="2"/>
  <c r="BH233" i="2"/>
  <c r="BI233" i="2"/>
  <c r="BJ233" i="2"/>
  <c r="BK233" i="2"/>
  <c r="BL233" i="2"/>
  <c r="BM233" i="2"/>
  <c r="BN233" i="2"/>
  <c r="BO233" i="2"/>
  <c r="G234" i="2"/>
  <c r="H234" i="2"/>
  <c r="I234" i="2"/>
  <c r="J234" i="2"/>
  <c r="K234" i="2"/>
  <c r="L234" i="2"/>
  <c r="M234" i="2"/>
  <c r="N234" i="2"/>
  <c r="O234" i="2"/>
  <c r="P234" i="2"/>
  <c r="Q234" i="2"/>
  <c r="R234" i="2"/>
  <c r="S234" i="2"/>
  <c r="T234" i="2"/>
  <c r="U234" i="2"/>
  <c r="V234" i="2"/>
  <c r="W234" i="2"/>
  <c r="X234" i="2"/>
  <c r="Y234" i="2"/>
  <c r="Z234" i="2"/>
  <c r="AA234" i="2"/>
  <c r="AB234" i="2"/>
  <c r="AC234" i="2"/>
  <c r="AD234" i="2"/>
  <c r="AE234" i="2"/>
  <c r="AF234" i="2"/>
  <c r="AG234" i="2"/>
  <c r="AH234" i="2"/>
  <c r="AI234" i="2"/>
  <c r="AJ234" i="2"/>
  <c r="AK234" i="2"/>
  <c r="AL234" i="2"/>
  <c r="AM234" i="2"/>
  <c r="AN234" i="2"/>
  <c r="AO234" i="2"/>
  <c r="AP234" i="2"/>
  <c r="AQ234" i="2"/>
  <c r="AR234" i="2"/>
  <c r="AS234" i="2"/>
  <c r="AT234" i="2"/>
  <c r="AU234" i="2"/>
  <c r="AV234" i="2"/>
  <c r="AW234" i="2"/>
  <c r="AX234" i="2"/>
  <c r="AY234" i="2"/>
  <c r="AZ234" i="2"/>
  <c r="BA234" i="2"/>
  <c r="BB234" i="2"/>
  <c r="BC234" i="2"/>
  <c r="BD234" i="2"/>
  <c r="BE234" i="2"/>
  <c r="BF234" i="2"/>
  <c r="BG234" i="2"/>
  <c r="BH234" i="2"/>
  <c r="BI234" i="2"/>
  <c r="BJ234" i="2"/>
  <c r="BK234" i="2"/>
  <c r="BL234" i="2"/>
  <c r="BM234" i="2"/>
  <c r="BN234" i="2"/>
  <c r="BO234" i="2"/>
  <c r="G235" i="2"/>
  <c r="H235" i="2"/>
  <c r="I235" i="2"/>
  <c r="J235" i="2"/>
  <c r="K235" i="2"/>
  <c r="L235" i="2"/>
  <c r="M235" i="2"/>
  <c r="N235" i="2"/>
  <c r="O235" i="2"/>
  <c r="P235" i="2"/>
  <c r="Q235" i="2"/>
  <c r="R235" i="2"/>
  <c r="S235" i="2"/>
  <c r="T235" i="2"/>
  <c r="U235" i="2"/>
  <c r="V235" i="2"/>
  <c r="W235" i="2"/>
  <c r="X235" i="2"/>
  <c r="Y235" i="2"/>
  <c r="Z235" i="2"/>
  <c r="AA235" i="2"/>
  <c r="AB235" i="2"/>
  <c r="AC235" i="2"/>
  <c r="AD235" i="2"/>
  <c r="AE235" i="2"/>
  <c r="AF235" i="2"/>
  <c r="AG235" i="2"/>
  <c r="AH235" i="2"/>
  <c r="AI235" i="2"/>
  <c r="AJ235" i="2"/>
  <c r="AK235" i="2"/>
  <c r="AL235" i="2"/>
  <c r="AM235" i="2"/>
  <c r="AN235" i="2"/>
  <c r="AO235" i="2"/>
  <c r="AP235" i="2"/>
  <c r="AQ235" i="2"/>
  <c r="AR235" i="2"/>
  <c r="AS235" i="2"/>
  <c r="AT235" i="2"/>
  <c r="AU235" i="2"/>
  <c r="AV235" i="2"/>
  <c r="AW235" i="2"/>
  <c r="AX235" i="2"/>
  <c r="AY235" i="2"/>
  <c r="AZ235" i="2"/>
  <c r="BA235" i="2"/>
  <c r="BB235" i="2"/>
  <c r="BC235" i="2"/>
  <c r="BD235" i="2"/>
  <c r="BE235" i="2"/>
  <c r="BF235" i="2"/>
  <c r="BG235" i="2"/>
  <c r="BH235" i="2"/>
  <c r="BI235" i="2"/>
  <c r="BJ235" i="2"/>
  <c r="BK235" i="2"/>
  <c r="BL235" i="2"/>
  <c r="BM235" i="2"/>
  <c r="BN235" i="2"/>
  <c r="BO235" i="2"/>
  <c r="G236" i="2"/>
  <c r="H236" i="2"/>
  <c r="I236" i="2"/>
  <c r="J236" i="2"/>
  <c r="K236" i="2"/>
  <c r="L236" i="2"/>
  <c r="M236" i="2"/>
  <c r="N236" i="2"/>
  <c r="O236" i="2"/>
  <c r="P236" i="2"/>
  <c r="Q236" i="2"/>
  <c r="R236" i="2"/>
  <c r="S236" i="2"/>
  <c r="T236" i="2"/>
  <c r="U236" i="2"/>
  <c r="V236" i="2"/>
  <c r="W236" i="2"/>
  <c r="X236" i="2"/>
  <c r="Y236" i="2"/>
  <c r="Z236" i="2"/>
  <c r="AA236" i="2"/>
  <c r="AB236" i="2"/>
  <c r="AC236" i="2"/>
  <c r="AD236" i="2"/>
  <c r="AE236" i="2"/>
  <c r="AF236" i="2"/>
  <c r="AG236" i="2"/>
  <c r="AH236" i="2"/>
  <c r="AI236" i="2"/>
  <c r="AJ236" i="2"/>
  <c r="AK236" i="2"/>
  <c r="AL236" i="2"/>
  <c r="AM236" i="2"/>
  <c r="AN236" i="2"/>
  <c r="AO236" i="2"/>
  <c r="AP236" i="2"/>
  <c r="AQ236" i="2"/>
  <c r="AR236" i="2"/>
  <c r="AS236" i="2"/>
  <c r="AT236" i="2"/>
  <c r="AU236" i="2"/>
  <c r="AV236" i="2"/>
  <c r="AW236" i="2"/>
  <c r="AX236" i="2"/>
  <c r="AY236" i="2"/>
  <c r="AZ236" i="2"/>
  <c r="BA236" i="2"/>
  <c r="BB236" i="2"/>
  <c r="BC236" i="2"/>
  <c r="BD236" i="2"/>
  <c r="BE236" i="2"/>
  <c r="BF236" i="2"/>
  <c r="BG236" i="2"/>
  <c r="BH236" i="2"/>
  <c r="BI236" i="2"/>
  <c r="BJ236" i="2"/>
  <c r="BK236" i="2"/>
  <c r="BL236" i="2"/>
  <c r="BM236" i="2"/>
  <c r="BN236" i="2"/>
  <c r="BO236" i="2"/>
  <c r="G237" i="2"/>
  <c r="H237" i="2"/>
  <c r="I237" i="2"/>
  <c r="J237" i="2"/>
  <c r="K237" i="2"/>
  <c r="L237" i="2"/>
  <c r="M237" i="2"/>
  <c r="N237" i="2"/>
  <c r="O237" i="2"/>
  <c r="P237" i="2"/>
  <c r="Q237" i="2"/>
  <c r="R237" i="2"/>
  <c r="S237" i="2"/>
  <c r="T237" i="2"/>
  <c r="U237" i="2"/>
  <c r="V237" i="2"/>
  <c r="W237" i="2"/>
  <c r="X237" i="2"/>
  <c r="Y237" i="2"/>
  <c r="Z237" i="2"/>
  <c r="AA237" i="2"/>
  <c r="AB237" i="2"/>
  <c r="AC237" i="2"/>
  <c r="AD237" i="2"/>
  <c r="AE237" i="2"/>
  <c r="AF237" i="2"/>
  <c r="AG237" i="2"/>
  <c r="AH237" i="2"/>
  <c r="AI237" i="2"/>
  <c r="AJ237" i="2"/>
  <c r="AK237" i="2"/>
  <c r="AL237" i="2"/>
  <c r="AM237" i="2"/>
  <c r="AN237" i="2"/>
  <c r="AO237" i="2"/>
  <c r="AP237" i="2"/>
  <c r="AQ237" i="2"/>
  <c r="AR237" i="2"/>
  <c r="AS237" i="2"/>
  <c r="AT237" i="2"/>
  <c r="AU237" i="2"/>
  <c r="AV237" i="2"/>
  <c r="AW237" i="2"/>
  <c r="AX237" i="2"/>
  <c r="AY237" i="2"/>
  <c r="AZ237" i="2"/>
  <c r="BA237" i="2"/>
  <c r="BB237" i="2"/>
  <c r="BC237" i="2"/>
  <c r="BD237" i="2"/>
  <c r="BE237" i="2"/>
  <c r="BF237" i="2"/>
  <c r="BG237" i="2"/>
  <c r="BH237" i="2"/>
  <c r="BI237" i="2"/>
  <c r="BJ237" i="2"/>
  <c r="BK237" i="2"/>
  <c r="BL237" i="2"/>
  <c r="BM237" i="2"/>
  <c r="BN237" i="2"/>
  <c r="BO237" i="2"/>
  <c r="G238" i="2"/>
  <c r="H238" i="2"/>
  <c r="I238" i="2"/>
  <c r="J238" i="2"/>
  <c r="K238" i="2"/>
  <c r="L238" i="2"/>
  <c r="M238" i="2"/>
  <c r="N238" i="2"/>
  <c r="O238" i="2"/>
  <c r="P238" i="2"/>
  <c r="Q238" i="2"/>
  <c r="R238" i="2"/>
  <c r="S238" i="2"/>
  <c r="T238" i="2"/>
  <c r="U238" i="2"/>
  <c r="V238" i="2"/>
  <c r="W238" i="2"/>
  <c r="X238" i="2"/>
  <c r="Y238" i="2"/>
  <c r="Z238" i="2"/>
  <c r="AA238" i="2"/>
  <c r="AB238" i="2"/>
  <c r="AC238" i="2"/>
  <c r="AD238" i="2"/>
  <c r="AE238" i="2"/>
  <c r="AF238" i="2"/>
  <c r="AG238" i="2"/>
  <c r="AH238" i="2"/>
  <c r="AI238" i="2"/>
  <c r="AJ238" i="2"/>
  <c r="AK238" i="2"/>
  <c r="AL238" i="2"/>
  <c r="AM238" i="2"/>
  <c r="AN238" i="2"/>
  <c r="AO238" i="2"/>
  <c r="AP238" i="2"/>
  <c r="AQ238" i="2"/>
  <c r="AR238" i="2"/>
  <c r="AS238" i="2"/>
  <c r="AT238" i="2"/>
  <c r="AU238" i="2"/>
  <c r="AV238" i="2"/>
  <c r="AW238" i="2"/>
  <c r="AX238" i="2"/>
  <c r="AY238" i="2"/>
  <c r="AZ238" i="2"/>
  <c r="BA238" i="2"/>
  <c r="BB238" i="2"/>
  <c r="BC238" i="2"/>
  <c r="BD238" i="2"/>
  <c r="BE238" i="2"/>
  <c r="BF238" i="2"/>
  <c r="BG238" i="2"/>
  <c r="BH238" i="2"/>
  <c r="BI238" i="2"/>
  <c r="BJ238" i="2"/>
  <c r="BK238" i="2"/>
  <c r="BL238" i="2"/>
  <c r="BM238" i="2"/>
  <c r="BN238" i="2"/>
  <c r="BO238" i="2"/>
  <c r="G239" i="2"/>
  <c r="H239" i="2"/>
  <c r="I239" i="2"/>
  <c r="J239" i="2"/>
  <c r="K239" i="2"/>
  <c r="L239" i="2"/>
  <c r="M239" i="2"/>
  <c r="N239" i="2"/>
  <c r="O239" i="2"/>
  <c r="P239" i="2"/>
  <c r="Q239" i="2"/>
  <c r="R239" i="2"/>
  <c r="S239" i="2"/>
  <c r="T239" i="2"/>
  <c r="U239" i="2"/>
  <c r="V239" i="2"/>
  <c r="W239" i="2"/>
  <c r="X239" i="2"/>
  <c r="Y239" i="2"/>
  <c r="Z239" i="2"/>
  <c r="AA239" i="2"/>
  <c r="AB239" i="2"/>
  <c r="AC239" i="2"/>
  <c r="AD239" i="2"/>
  <c r="AE239" i="2"/>
  <c r="AF239" i="2"/>
  <c r="AG239" i="2"/>
  <c r="AH239" i="2"/>
  <c r="AI239" i="2"/>
  <c r="AJ239" i="2"/>
  <c r="AK239" i="2"/>
  <c r="AL239" i="2"/>
  <c r="AM239" i="2"/>
  <c r="AN239" i="2"/>
  <c r="AO239" i="2"/>
  <c r="AP239" i="2"/>
  <c r="AQ239" i="2"/>
  <c r="AR239" i="2"/>
  <c r="AS239" i="2"/>
  <c r="AT239" i="2"/>
  <c r="AU239" i="2"/>
  <c r="AV239" i="2"/>
  <c r="AW239" i="2"/>
  <c r="AX239" i="2"/>
  <c r="AY239" i="2"/>
  <c r="AZ239" i="2"/>
  <c r="BA239" i="2"/>
  <c r="BB239" i="2"/>
  <c r="BC239" i="2"/>
  <c r="BD239" i="2"/>
  <c r="BE239" i="2"/>
  <c r="BF239" i="2"/>
  <c r="BG239" i="2"/>
  <c r="BH239" i="2"/>
  <c r="BI239" i="2"/>
  <c r="BJ239" i="2"/>
  <c r="BK239" i="2"/>
  <c r="BL239" i="2"/>
  <c r="BM239" i="2"/>
  <c r="BN239" i="2"/>
  <c r="BO239" i="2"/>
  <c r="G240" i="2"/>
  <c r="H240" i="2"/>
  <c r="I240" i="2"/>
  <c r="J240" i="2"/>
  <c r="K240" i="2"/>
  <c r="L240" i="2"/>
  <c r="M240" i="2"/>
  <c r="N240" i="2"/>
  <c r="O240" i="2"/>
  <c r="P240" i="2"/>
  <c r="Q240" i="2"/>
  <c r="R240" i="2"/>
  <c r="S240" i="2"/>
  <c r="T240" i="2"/>
  <c r="U240" i="2"/>
  <c r="V240" i="2"/>
  <c r="W240" i="2"/>
  <c r="X240" i="2"/>
  <c r="Y240" i="2"/>
  <c r="Z240" i="2"/>
  <c r="AA240" i="2"/>
  <c r="AB240" i="2"/>
  <c r="AC240" i="2"/>
  <c r="AD240" i="2"/>
  <c r="AE240" i="2"/>
  <c r="AF240" i="2"/>
  <c r="AG240" i="2"/>
  <c r="AH240" i="2"/>
  <c r="AI240" i="2"/>
  <c r="AJ240" i="2"/>
  <c r="AK240" i="2"/>
  <c r="AL240" i="2"/>
  <c r="AM240" i="2"/>
  <c r="AN240" i="2"/>
  <c r="AO240" i="2"/>
  <c r="AP240" i="2"/>
  <c r="AQ240" i="2"/>
  <c r="AR240" i="2"/>
  <c r="AS240" i="2"/>
  <c r="AT240" i="2"/>
  <c r="AU240" i="2"/>
  <c r="AV240" i="2"/>
  <c r="AW240" i="2"/>
  <c r="AX240" i="2"/>
  <c r="AY240" i="2"/>
  <c r="AZ240" i="2"/>
  <c r="BA240" i="2"/>
  <c r="BB240" i="2"/>
  <c r="BC240" i="2"/>
  <c r="BD240" i="2"/>
  <c r="BE240" i="2"/>
  <c r="BF240" i="2"/>
  <c r="BG240" i="2"/>
  <c r="BH240" i="2"/>
  <c r="BI240" i="2"/>
  <c r="BJ240" i="2"/>
  <c r="BK240" i="2"/>
  <c r="BL240" i="2"/>
  <c r="BM240" i="2"/>
  <c r="BN240" i="2"/>
  <c r="BO240" i="2"/>
  <c r="G241" i="2"/>
  <c r="H241" i="2"/>
  <c r="I241" i="2"/>
  <c r="J241" i="2"/>
  <c r="K241" i="2"/>
  <c r="L241" i="2"/>
  <c r="M241" i="2"/>
  <c r="N241" i="2"/>
  <c r="O241" i="2"/>
  <c r="P241" i="2"/>
  <c r="Q241" i="2"/>
  <c r="R241" i="2"/>
  <c r="S241" i="2"/>
  <c r="T241" i="2"/>
  <c r="U241" i="2"/>
  <c r="V241" i="2"/>
  <c r="W241" i="2"/>
  <c r="X241" i="2"/>
  <c r="Y241" i="2"/>
  <c r="Z241" i="2"/>
  <c r="AA241" i="2"/>
  <c r="AB241" i="2"/>
  <c r="AC241" i="2"/>
  <c r="AD241" i="2"/>
  <c r="AE241" i="2"/>
  <c r="AF241" i="2"/>
  <c r="AG241" i="2"/>
  <c r="AH241" i="2"/>
  <c r="AI241" i="2"/>
  <c r="AJ241" i="2"/>
  <c r="AK241" i="2"/>
  <c r="AL241" i="2"/>
  <c r="AM241" i="2"/>
  <c r="AN241" i="2"/>
  <c r="AO241" i="2"/>
  <c r="AP241" i="2"/>
  <c r="AQ241" i="2"/>
  <c r="AR241" i="2"/>
  <c r="AS241" i="2"/>
  <c r="AT241" i="2"/>
  <c r="AU241" i="2"/>
  <c r="AV241" i="2"/>
  <c r="AW241" i="2"/>
  <c r="AX241" i="2"/>
  <c r="AY241" i="2"/>
  <c r="AZ241" i="2"/>
  <c r="BA241" i="2"/>
  <c r="BB241" i="2"/>
  <c r="BC241" i="2"/>
  <c r="BD241" i="2"/>
  <c r="BE241" i="2"/>
  <c r="BF241" i="2"/>
  <c r="BG241" i="2"/>
  <c r="BH241" i="2"/>
  <c r="BI241" i="2"/>
  <c r="BJ241" i="2"/>
  <c r="BK241" i="2"/>
  <c r="BL241" i="2"/>
  <c r="BM241" i="2"/>
  <c r="BN241" i="2"/>
  <c r="BO241" i="2"/>
  <c r="F238" i="2"/>
  <c r="G210" i="2"/>
  <c r="H210" i="2"/>
  <c r="I210" i="2"/>
  <c r="J210" i="2"/>
  <c r="K210" i="2"/>
  <c r="L210" i="2"/>
  <c r="M210" i="2"/>
  <c r="N210" i="2"/>
  <c r="O210" i="2"/>
  <c r="P210" i="2"/>
  <c r="Q210" i="2"/>
  <c r="R210" i="2"/>
  <c r="S210" i="2"/>
  <c r="T210" i="2"/>
  <c r="U210" i="2"/>
  <c r="V210" i="2"/>
  <c r="W210" i="2"/>
  <c r="X210" i="2"/>
  <c r="Y210" i="2"/>
  <c r="Z210" i="2"/>
  <c r="AA210" i="2"/>
  <c r="AB210" i="2"/>
  <c r="AC210" i="2"/>
  <c r="AD210" i="2"/>
  <c r="AE210" i="2"/>
  <c r="AF210" i="2"/>
  <c r="AG210" i="2"/>
  <c r="AH210" i="2"/>
  <c r="AI210" i="2"/>
  <c r="AJ210" i="2"/>
  <c r="AK210" i="2"/>
  <c r="AL210" i="2"/>
  <c r="AM210" i="2"/>
  <c r="AN210" i="2"/>
  <c r="AO210" i="2"/>
  <c r="AP210" i="2"/>
  <c r="AQ210" i="2"/>
  <c r="AR210" i="2"/>
  <c r="AS210" i="2"/>
  <c r="AT210" i="2"/>
  <c r="AU210" i="2"/>
  <c r="AV210" i="2"/>
  <c r="AW210" i="2"/>
  <c r="AX210" i="2"/>
  <c r="AY210" i="2"/>
  <c r="AZ210" i="2"/>
  <c r="BA210" i="2"/>
  <c r="BB210" i="2"/>
  <c r="BC210" i="2"/>
  <c r="BD210" i="2"/>
  <c r="BE210" i="2"/>
  <c r="BF210" i="2"/>
  <c r="BG210" i="2"/>
  <c r="BH210" i="2"/>
  <c r="BI210" i="2"/>
  <c r="BJ210" i="2"/>
  <c r="BK210" i="2"/>
  <c r="BL210" i="2"/>
  <c r="BM210" i="2"/>
  <c r="BN210" i="2"/>
  <c r="BO210" i="2"/>
  <c r="G211" i="2"/>
  <c r="H211" i="2"/>
  <c r="I211" i="2"/>
  <c r="J211" i="2"/>
  <c r="K211" i="2"/>
  <c r="L211" i="2"/>
  <c r="M211" i="2"/>
  <c r="N211" i="2"/>
  <c r="O211" i="2"/>
  <c r="P211" i="2"/>
  <c r="Q211" i="2"/>
  <c r="R211" i="2"/>
  <c r="S211" i="2"/>
  <c r="T211" i="2"/>
  <c r="U211" i="2"/>
  <c r="V211" i="2"/>
  <c r="W211" i="2"/>
  <c r="X211" i="2"/>
  <c r="Y211" i="2"/>
  <c r="Z211" i="2"/>
  <c r="AA211" i="2"/>
  <c r="AB211" i="2"/>
  <c r="AC211" i="2"/>
  <c r="AD211" i="2"/>
  <c r="AE211" i="2"/>
  <c r="AF211" i="2"/>
  <c r="AG211" i="2"/>
  <c r="AH211" i="2"/>
  <c r="AI211" i="2"/>
  <c r="AJ211" i="2"/>
  <c r="AK211" i="2"/>
  <c r="AL211" i="2"/>
  <c r="AM211" i="2"/>
  <c r="AN211" i="2"/>
  <c r="AO211" i="2"/>
  <c r="AP211" i="2"/>
  <c r="AQ211" i="2"/>
  <c r="AR211" i="2"/>
  <c r="AS211" i="2"/>
  <c r="AT211" i="2"/>
  <c r="AU211" i="2"/>
  <c r="AV211" i="2"/>
  <c r="AW211" i="2"/>
  <c r="AX211" i="2"/>
  <c r="AY211" i="2"/>
  <c r="AZ211" i="2"/>
  <c r="BA211" i="2"/>
  <c r="BB211" i="2"/>
  <c r="BC211" i="2"/>
  <c r="BD211" i="2"/>
  <c r="BE211" i="2"/>
  <c r="BF211" i="2"/>
  <c r="BG211" i="2"/>
  <c r="BH211" i="2"/>
  <c r="BI211" i="2"/>
  <c r="BJ211" i="2"/>
  <c r="BK211" i="2"/>
  <c r="BL211" i="2"/>
  <c r="BM211" i="2"/>
  <c r="BN211" i="2"/>
  <c r="BO211" i="2"/>
  <c r="G212" i="2"/>
  <c r="H212" i="2"/>
  <c r="I212" i="2"/>
  <c r="J212" i="2"/>
  <c r="K212" i="2"/>
  <c r="L212" i="2"/>
  <c r="M212" i="2"/>
  <c r="N212" i="2"/>
  <c r="O212" i="2"/>
  <c r="P212" i="2"/>
  <c r="Q212" i="2"/>
  <c r="R212" i="2"/>
  <c r="S212" i="2"/>
  <c r="T212" i="2"/>
  <c r="U212" i="2"/>
  <c r="V212" i="2"/>
  <c r="W212" i="2"/>
  <c r="X212" i="2"/>
  <c r="Y212" i="2"/>
  <c r="Z212" i="2"/>
  <c r="AA212" i="2"/>
  <c r="AB212" i="2"/>
  <c r="AC212" i="2"/>
  <c r="AD212" i="2"/>
  <c r="AE212" i="2"/>
  <c r="AF212" i="2"/>
  <c r="AG212" i="2"/>
  <c r="AH212" i="2"/>
  <c r="AI212" i="2"/>
  <c r="AJ212" i="2"/>
  <c r="AK212" i="2"/>
  <c r="AL212" i="2"/>
  <c r="AM212" i="2"/>
  <c r="AN212" i="2"/>
  <c r="AO212" i="2"/>
  <c r="AP212" i="2"/>
  <c r="AQ212" i="2"/>
  <c r="AR212" i="2"/>
  <c r="AS212" i="2"/>
  <c r="AT212" i="2"/>
  <c r="AU212" i="2"/>
  <c r="AV212" i="2"/>
  <c r="AW212" i="2"/>
  <c r="AX212" i="2"/>
  <c r="AY212" i="2"/>
  <c r="AZ212" i="2"/>
  <c r="BA212" i="2"/>
  <c r="BB212" i="2"/>
  <c r="BC212" i="2"/>
  <c r="BD212" i="2"/>
  <c r="BE212" i="2"/>
  <c r="BF212" i="2"/>
  <c r="BG212" i="2"/>
  <c r="BH212" i="2"/>
  <c r="BI212" i="2"/>
  <c r="BJ212" i="2"/>
  <c r="BK212" i="2"/>
  <c r="BL212" i="2"/>
  <c r="BM212" i="2"/>
  <c r="BN212" i="2"/>
  <c r="BO212" i="2"/>
  <c r="G213" i="2"/>
  <c r="H213" i="2"/>
  <c r="I213" i="2"/>
  <c r="J213" i="2"/>
  <c r="K213" i="2"/>
  <c r="L213" i="2"/>
  <c r="M213" i="2"/>
  <c r="N213" i="2"/>
  <c r="O213" i="2"/>
  <c r="P213" i="2"/>
  <c r="Q213" i="2"/>
  <c r="R213" i="2"/>
  <c r="S213" i="2"/>
  <c r="T213" i="2"/>
  <c r="U213" i="2"/>
  <c r="V213" i="2"/>
  <c r="W213" i="2"/>
  <c r="X213" i="2"/>
  <c r="Y213" i="2"/>
  <c r="Z213" i="2"/>
  <c r="AA213" i="2"/>
  <c r="AB213" i="2"/>
  <c r="AC213" i="2"/>
  <c r="AD213" i="2"/>
  <c r="AE213" i="2"/>
  <c r="AF213" i="2"/>
  <c r="AG213" i="2"/>
  <c r="AH213" i="2"/>
  <c r="AI213" i="2"/>
  <c r="AJ213" i="2"/>
  <c r="AK213" i="2"/>
  <c r="AL213" i="2"/>
  <c r="AM213" i="2"/>
  <c r="AN213" i="2"/>
  <c r="AO213" i="2"/>
  <c r="AP213" i="2"/>
  <c r="AQ213" i="2"/>
  <c r="AR213" i="2"/>
  <c r="AS213" i="2"/>
  <c r="AT213" i="2"/>
  <c r="AU213" i="2"/>
  <c r="AV213" i="2"/>
  <c r="AW213" i="2"/>
  <c r="AX213" i="2"/>
  <c r="AY213" i="2"/>
  <c r="AZ213" i="2"/>
  <c r="BA213" i="2"/>
  <c r="BB213" i="2"/>
  <c r="BC213" i="2"/>
  <c r="BD213" i="2"/>
  <c r="BE213" i="2"/>
  <c r="BF213" i="2"/>
  <c r="BG213" i="2"/>
  <c r="BH213" i="2"/>
  <c r="BI213" i="2"/>
  <c r="BJ213" i="2"/>
  <c r="BK213" i="2"/>
  <c r="BL213" i="2"/>
  <c r="BM213" i="2"/>
  <c r="BN213" i="2"/>
  <c r="BO213" i="2"/>
  <c r="G214" i="2"/>
  <c r="H214" i="2"/>
  <c r="I214" i="2"/>
  <c r="J214" i="2"/>
  <c r="K214" i="2"/>
  <c r="L214" i="2"/>
  <c r="M214" i="2"/>
  <c r="N214" i="2"/>
  <c r="O214" i="2"/>
  <c r="P214" i="2"/>
  <c r="Q214" i="2"/>
  <c r="R214" i="2"/>
  <c r="S214" i="2"/>
  <c r="T214" i="2"/>
  <c r="U214" i="2"/>
  <c r="V214" i="2"/>
  <c r="W214" i="2"/>
  <c r="X214" i="2"/>
  <c r="Y214" i="2"/>
  <c r="Z214" i="2"/>
  <c r="AA214" i="2"/>
  <c r="AB214" i="2"/>
  <c r="AC214" i="2"/>
  <c r="AD214" i="2"/>
  <c r="AE214" i="2"/>
  <c r="AF214" i="2"/>
  <c r="AG214" i="2"/>
  <c r="AH214" i="2"/>
  <c r="AI214" i="2"/>
  <c r="AJ214" i="2"/>
  <c r="AK214" i="2"/>
  <c r="AL214" i="2"/>
  <c r="AM214" i="2"/>
  <c r="AN214" i="2"/>
  <c r="AO214" i="2"/>
  <c r="AP214" i="2"/>
  <c r="AQ214" i="2"/>
  <c r="AR214" i="2"/>
  <c r="AS214" i="2"/>
  <c r="AT214" i="2"/>
  <c r="AU214" i="2"/>
  <c r="AV214" i="2"/>
  <c r="AW214" i="2"/>
  <c r="AX214" i="2"/>
  <c r="AY214" i="2"/>
  <c r="AZ214" i="2"/>
  <c r="BA214" i="2"/>
  <c r="BB214" i="2"/>
  <c r="BC214" i="2"/>
  <c r="BD214" i="2"/>
  <c r="BE214" i="2"/>
  <c r="BF214" i="2"/>
  <c r="BG214" i="2"/>
  <c r="BH214" i="2"/>
  <c r="BI214" i="2"/>
  <c r="BJ214" i="2"/>
  <c r="BK214" i="2"/>
  <c r="BL214" i="2"/>
  <c r="BM214" i="2"/>
  <c r="BN214" i="2"/>
  <c r="BO214" i="2"/>
  <c r="G215" i="2"/>
  <c r="H215" i="2"/>
  <c r="I215" i="2"/>
  <c r="J215" i="2"/>
  <c r="K215" i="2"/>
  <c r="L215" i="2"/>
  <c r="M215" i="2"/>
  <c r="N215" i="2"/>
  <c r="O215" i="2"/>
  <c r="P215" i="2"/>
  <c r="Q215" i="2"/>
  <c r="R215" i="2"/>
  <c r="S215" i="2"/>
  <c r="T215" i="2"/>
  <c r="U215" i="2"/>
  <c r="V215" i="2"/>
  <c r="W215" i="2"/>
  <c r="X215" i="2"/>
  <c r="Y215" i="2"/>
  <c r="Z215" i="2"/>
  <c r="AA215" i="2"/>
  <c r="AB215" i="2"/>
  <c r="AC215" i="2"/>
  <c r="AD215" i="2"/>
  <c r="AE215" i="2"/>
  <c r="AF215" i="2"/>
  <c r="AG215" i="2"/>
  <c r="AH215" i="2"/>
  <c r="AI215" i="2"/>
  <c r="AJ215" i="2"/>
  <c r="AK215" i="2"/>
  <c r="AL215" i="2"/>
  <c r="AM215" i="2"/>
  <c r="AN215" i="2"/>
  <c r="AO215" i="2"/>
  <c r="AP215" i="2"/>
  <c r="AQ215" i="2"/>
  <c r="AR215" i="2"/>
  <c r="AS215" i="2"/>
  <c r="AT215" i="2"/>
  <c r="AU215" i="2"/>
  <c r="AV215" i="2"/>
  <c r="AW215" i="2"/>
  <c r="AX215" i="2"/>
  <c r="AY215" i="2"/>
  <c r="AZ215" i="2"/>
  <c r="BA215" i="2"/>
  <c r="BB215" i="2"/>
  <c r="BC215" i="2"/>
  <c r="BD215" i="2"/>
  <c r="BE215" i="2"/>
  <c r="BF215" i="2"/>
  <c r="BG215" i="2"/>
  <c r="BH215" i="2"/>
  <c r="BI215" i="2"/>
  <c r="BJ215" i="2"/>
  <c r="BK215" i="2"/>
  <c r="BL215" i="2"/>
  <c r="BM215" i="2"/>
  <c r="BN215" i="2"/>
  <c r="BO215" i="2"/>
  <c r="G216" i="2"/>
  <c r="H216" i="2"/>
  <c r="I216" i="2"/>
  <c r="J216" i="2"/>
  <c r="K216" i="2"/>
  <c r="L216" i="2"/>
  <c r="M216" i="2"/>
  <c r="N216" i="2"/>
  <c r="O216" i="2"/>
  <c r="P216" i="2"/>
  <c r="Q216" i="2"/>
  <c r="R216" i="2"/>
  <c r="S216" i="2"/>
  <c r="T216" i="2"/>
  <c r="U216" i="2"/>
  <c r="V216" i="2"/>
  <c r="W216" i="2"/>
  <c r="X216" i="2"/>
  <c r="Y216" i="2"/>
  <c r="Z216" i="2"/>
  <c r="AA216" i="2"/>
  <c r="AB216" i="2"/>
  <c r="AC216" i="2"/>
  <c r="AD216" i="2"/>
  <c r="AE216" i="2"/>
  <c r="AF216" i="2"/>
  <c r="AG216" i="2"/>
  <c r="AH216" i="2"/>
  <c r="AI216" i="2"/>
  <c r="AJ216" i="2"/>
  <c r="AK216" i="2"/>
  <c r="AL216" i="2"/>
  <c r="AM216" i="2"/>
  <c r="AN216" i="2"/>
  <c r="AO216" i="2"/>
  <c r="AP216" i="2"/>
  <c r="AQ216" i="2"/>
  <c r="AR216" i="2"/>
  <c r="AS216" i="2"/>
  <c r="AT216" i="2"/>
  <c r="AU216" i="2"/>
  <c r="AV216" i="2"/>
  <c r="AW216" i="2"/>
  <c r="AX216" i="2"/>
  <c r="AY216" i="2"/>
  <c r="AZ216" i="2"/>
  <c r="BA216" i="2"/>
  <c r="BB216" i="2"/>
  <c r="BC216" i="2"/>
  <c r="BD216" i="2"/>
  <c r="BE216" i="2"/>
  <c r="BF216" i="2"/>
  <c r="BG216" i="2"/>
  <c r="BH216" i="2"/>
  <c r="BI216" i="2"/>
  <c r="BJ216" i="2"/>
  <c r="BK216" i="2"/>
  <c r="BL216" i="2"/>
  <c r="BM216" i="2"/>
  <c r="BN216" i="2"/>
  <c r="BO216" i="2"/>
  <c r="G217" i="2"/>
  <c r="H217" i="2"/>
  <c r="I217" i="2"/>
  <c r="J217" i="2"/>
  <c r="K217" i="2"/>
  <c r="L217" i="2"/>
  <c r="M217" i="2"/>
  <c r="N217" i="2"/>
  <c r="O217" i="2"/>
  <c r="P217" i="2"/>
  <c r="Q217" i="2"/>
  <c r="R217" i="2"/>
  <c r="S217" i="2"/>
  <c r="T217" i="2"/>
  <c r="U217" i="2"/>
  <c r="V217" i="2"/>
  <c r="W217" i="2"/>
  <c r="X217" i="2"/>
  <c r="Y217" i="2"/>
  <c r="Z217" i="2"/>
  <c r="AA217" i="2"/>
  <c r="AB217" i="2"/>
  <c r="AC217" i="2"/>
  <c r="AD217" i="2"/>
  <c r="AE217" i="2"/>
  <c r="AF217" i="2"/>
  <c r="AG217" i="2"/>
  <c r="AH217" i="2"/>
  <c r="AI217" i="2"/>
  <c r="AJ217" i="2"/>
  <c r="AK217" i="2"/>
  <c r="AL217" i="2"/>
  <c r="AM217" i="2"/>
  <c r="AN217" i="2"/>
  <c r="AO217" i="2"/>
  <c r="AP217" i="2"/>
  <c r="AQ217" i="2"/>
  <c r="AR217" i="2"/>
  <c r="AS217" i="2"/>
  <c r="AT217" i="2"/>
  <c r="AU217" i="2"/>
  <c r="AV217" i="2"/>
  <c r="AW217" i="2"/>
  <c r="AX217" i="2"/>
  <c r="AY217" i="2"/>
  <c r="AZ217" i="2"/>
  <c r="BA217" i="2"/>
  <c r="BB217" i="2"/>
  <c r="BC217" i="2"/>
  <c r="BD217" i="2"/>
  <c r="BE217" i="2"/>
  <c r="BF217" i="2"/>
  <c r="BG217" i="2"/>
  <c r="BH217" i="2"/>
  <c r="BI217" i="2"/>
  <c r="BJ217" i="2"/>
  <c r="BK217" i="2"/>
  <c r="BL217" i="2"/>
  <c r="BM217" i="2"/>
  <c r="BN217" i="2"/>
  <c r="BO217" i="2"/>
  <c r="G218" i="2"/>
  <c r="H218" i="2"/>
  <c r="I218" i="2"/>
  <c r="J218" i="2"/>
  <c r="K218" i="2"/>
  <c r="L218" i="2"/>
  <c r="M218" i="2"/>
  <c r="N218" i="2"/>
  <c r="O218" i="2"/>
  <c r="P218" i="2"/>
  <c r="Q218" i="2"/>
  <c r="R218" i="2"/>
  <c r="S218" i="2"/>
  <c r="T218" i="2"/>
  <c r="U218" i="2"/>
  <c r="V218" i="2"/>
  <c r="W218" i="2"/>
  <c r="X218" i="2"/>
  <c r="Y218" i="2"/>
  <c r="Z218" i="2"/>
  <c r="AA218" i="2"/>
  <c r="AB218" i="2"/>
  <c r="AC218" i="2"/>
  <c r="AD218" i="2"/>
  <c r="AE218" i="2"/>
  <c r="AF218" i="2"/>
  <c r="AG218" i="2"/>
  <c r="AH218" i="2"/>
  <c r="AI218" i="2"/>
  <c r="AJ218" i="2"/>
  <c r="AK218" i="2"/>
  <c r="AL218" i="2"/>
  <c r="AM218" i="2"/>
  <c r="AN218" i="2"/>
  <c r="AO218" i="2"/>
  <c r="AP218" i="2"/>
  <c r="AQ218" i="2"/>
  <c r="AR218" i="2"/>
  <c r="AS218" i="2"/>
  <c r="AT218" i="2"/>
  <c r="AU218" i="2"/>
  <c r="AV218" i="2"/>
  <c r="AW218" i="2"/>
  <c r="AX218" i="2"/>
  <c r="AY218" i="2"/>
  <c r="AZ218" i="2"/>
  <c r="BA218" i="2"/>
  <c r="BB218" i="2"/>
  <c r="BC218" i="2"/>
  <c r="BD218" i="2"/>
  <c r="BE218" i="2"/>
  <c r="BF218" i="2"/>
  <c r="BG218" i="2"/>
  <c r="BH218" i="2"/>
  <c r="BI218" i="2"/>
  <c r="BJ218" i="2"/>
  <c r="BK218" i="2"/>
  <c r="BL218" i="2"/>
  <c r="BM218" i="2"/>
  <c r="BN218" i="2"/>
  <c r="BO218" i="2"/>
  <c r="G219" i="2"/>
  <c r="H219" i="2"/>
  <c r="I219" i="2"/>
  <c r="J219" i="2"/>
  <c r="K219" i="2"/>
  <c r="L219" i="2"/>
  <c r="M219" i="2"/>
  <c r="N219" i="2"/>
  <c r="O219" i="2"/>
  <c r="P219" i="2"/>
  <c r="Q219" i="2"/>
  <c r="R219" i="2"/>
  <c r="S219" i="2"/>
  <c r="T219" i="2"/>
  <c r="U219" i="2"/>
  <c r="V219" i="2"/>
  <c r="W219" i="2"/>
  <c r="X219" i="2"/>
  <c r="Y219" i="2"/>
  <c r="Z219" i="2"/>
  <c r="AA219" i="2"/>
  <c r="AB219" i="2"/>
  <c r="AC219" i="2"/>
  <c r="AD219" i="2"/>
  <c r="AE219" i="2"/>
  <c r="AF219" i="2"/>
  <c r="AG219" i="2"/>
  <c r="AH219" i="2"/>
  <c r="AI219" i="2"/>
  <c r="AJ219" i="2"/>
  <c r="AK219" i="2"/>
  <c r="AL219" i="2"/>
  <c r="AM219" i="2"/>
  <c r="AN219" i="2"/>
  <c r="AO219" i="2"/>
  <c r="AP219" i="2"/>
  <c r="AQ219" i="2"/>
  <c r="AR219" i="2"/>
  <c r="AS219" i="2"/>
  <c r="AT219" i="2"/>
  <c r="AU219" i="2"/>
  <c r="AV219" i="2"/>
  <c r="AW219" i="2"/>
  <c r="AX219" i="2"/>
  <c r="AY219" i="2"/>
  <c r="AZ219" i="2"/>
  <c r="BA219" i="2"/>
  <c r="BB219" i="2"/>
  <c r="BC219" i="2"/>
  <c r="BD219" i="2"/>
  <c r="BE219" i="2"/>
  <c r="BF219" i="2"/>
  <c r="BG219" i="2"/>
  <c r="BH219" i="2"/>
  <c r="BI219" i="2"/>
  <c r="BJ219" i="2"/>
  <c r="BK219" i="2"/>
  <c r="BL219" i="2"/>
  <c r="BM219" i="2"/>
  <c r="BN219" i="2"/>
  <c r="BO219" i="2"/>
  <c r="G220" i="2"/>
  <c r="H220" i="2"/>
  <c r="I220" i="2"/>
  <c r="J220" i="2"/>
  <c r="K220" i="2"/>
  <c r="L220" i="2"/>
  <c r="M220" i="2"/>
  <c r="N220" i="2"/>
  <c r="O220" i="2"/>
  <c r="P220" i="2"/>
  <c r="Q220" i="2"/>
  <c r="R220" i="2"/>
  <c r="S220" i="2"/>
  <c r="T220" i="2"/>
  <c r="U220" i="2"/>
  <c r="V220" i="2"/>
  <c r="W220" i="2"/>
  <c r="X220" i="2"/>
  <c r="Y220" i="2"/>
  <c r="Z220" i="2"/>
  <c r="AA220" i="2"/>
  <c r="AB220" i="2"/>
  <c r="AC220" i="2"/>
  <c r="AD220" i="2"/>
  <c r="AE220" i="2"/>
  <c r="AF220" i="2"/>
  <c r="AG220" i="2"/>
  <c r="AH220" i="2"/>
  <c r="AI220" i="2"/>
  <c r="AJ220" i="2"/>
  <c r="AK220" i="2"/>
  <c r="AL220" i="2"/>
  <c r="AM220" i="2"/>
  <c r="AN220" i="2"/>
  <c r="AO220" i="2"/>
  <c r="AP220" i="2"/>
  <c r="AQ220" i="2"/>
  <c r="AR220" i="2"/>
  <c r="AS220" i="2"/>
  <c r="AT220" i="2"/>
  <c r="AU220" i="2"/>
  <c r="AV220" i="2"/>
  <c r="AW220" i="2"/>
  <c r="AX220" i="2"/>
  <c r="AY220" i="2"/>
  <c r="AZ220" i="2"/>
  <c r="BA220" i="2"/>
  <c r="BB220" i="2"/>
  <c r="BC220" i="2"/>
  <c r="BD220" i="2"/>
  <c r="BE220" i="2"/>
  <c r="BF220" i="2"/>
  <c r="BG220" i="2"/>
  <c r="BH220" i="2"/>
  <c r="BI220" i="2"/>
  <c r="BJ220" i="2"/>
  <c r="BK220" i="2"/>
  <c r="BL220" i="2"/>
  <c r="BM220" i="2"/>
  <c r="BN220" i="2"/>
  <c r="BO220" i="2"/>
  <c r="G221" i="2"/>
  <c r="H221" i="2"/>
  <c r="I221" i="2"/>
  <c r="J221" i="2"/>
  <c r="K221" i="2"/>
  <c r="L221" i="2"/>
  <c r="M221" i="2"/>
  <c r="N221" i="2"/>
  <c r="O221" i="2"/>
  <c r="P221" i="2"/>
  <c r="Q221" i="2"/>
  <c r="R221" i="2"/>
  <c r="S221" i="2"/>
  <c r="T221" i="2"/>
  <c r="U221" i="2"/>
  <c r="V221" i="2"/>
  <c r="W221" i="2"/>
  <c r="X221" i="2"/>
  <c r="Y221" i="2"/>
  <c r="Z221" i="2"/>
  <c r="AA221" i="2"/>
  <c r="AB221" i="2"/>
  <c r="AC221" i="2"/>
  <c r="AD221" i="2"/>
  <c r="AE221" i="2"/>
  <c r="AF221" i="2"/>
  <c r="AG221" i="2"/>
  <c r="AH221" i="2"/>
  <c r="AI221" i="2"/>
  <c r="AJ221" i="2"/>
  <c r="AK221" i="2"/>
  <c r="AL221" i="2"/>
  <c r="AM221" i="2"/>
  <c r="AN221" i="2"/>
  <c r="AO221" i="2"/>
  <c r="AP221" i="2"/>
  <c r="AQ221" i="2"/>
  <c r="AR221" i="2"/>
  <c r="AS221" i="2"/>
  <c r="AT221" i="2"/>
  <c r="AU221" i="2"/>
  <c r="AV221" i="2"/>
  <c r="AW221" i="2"/>
  <c r="AX221" i="2"/>
  <c r="AY221" i="2"/>
  <c r="AZ221" i="2"/>
  <c r="BA221" i="2"/>
  <c r="BB221" i="2"/>
  <c r="BC221" i="2"/>
  <c r="BD221" i="2"/>
  <c r="BE221" i="2"/>
  <c r="BF221" i="2"/>
  <c r="BG221" i="2"/>
  <c r="BH221" i="2"/>
  <c r="BI221" i="2"/>
  <c r="BJ221" i="2"/>
  <c r="BK221" i="2"/>
  <c r="BL221" i="2"/>
  <c r="BM221" i="2"/>
  <c r="BN221" i="2"/>
  <c r="BO221" i="2"/>
  <c r="G222" i="2"/>
  <c r="H222" i="2"/>
  <c r="I222" i="2"/>
  <c r="J222" i="2"/>
  <c r="K222" i="2"/>
  <c r="L222" i="2"/>
  <c r="M222" i="2"/>
  <c r="N222" i="2"/>
  <c r="O222" i="2"/>
  <c r="P222" i="2"/>
  <c r="Q222" i="2"/>
  <c r="R222" i="2"/>
  <c r="S222" i="2"/>
  <c r="T222" i="2"/>
  <c r="U222" i="2"/>
  <c r="V222" i="2"/>
  <c r="W222" i="2"/>
  <c r="X222" i="2"/>
  <c r="Y222" i="2"/>
  <c r="Z222" i="2"/>
  <c r="AA222" i="2"/>
  <c r="AB222" i="2"/>
  <c r="AC222" i="2"/>
  <c r="AD222" i="2"/>
  <c r="AE222" i="2"/>
  <c r="AF222" i="2"/>
  <c r="AG222" i="2"/>
  <c r="AH222" i="2"/>
  <c r="AI222" i="2"/>
  <c r="AJ222" i="2"/>
  <c r="AK222" i="2"/>
  <c r="AL222" i="2"/>
  <c r="AM222" i="2"/>
  <c r="AN222" i="2"/>
  <c r="AO222" i="2"/>
  <c r="AP222" i="2"/>
  <c r="AQ222" i="2"/>
  <c r="AR222" i="2"/>
  <c r="AS222" i="2"/>
  <c r="AT222" i="2"/>
  <c r="AU222" i="2"/>
  <c r="AV222" i="2"/>
  <c r="AW222" i="2"/>
  <c r="AX222" i="2"/>
  <c r="AY222" i="2"/>
  <c r="AZ222" i="2"/>
  <c r="BA222" i="2"/>
  <c r="BB222" i="2"/>
  <c r="BC222" i="2"/>
  <c r="BD222" i="2"/>
  <c r="BE222" i="2"/>
  <c r="BF222" i="2"/>
  <c r="BG222" i="2"/>
  <c r="BH222" i="2"/>
  <c r="BI222" i="2"/>
  <c r="BJ222" i="2"/>
  <c r="BK222" i="2"/>
  <c r="BL222" i="2"/>
  <c r="BM222" i="2"/>
  <c r="BN222" i="2"/>
  <c r="BO222" i="2"/>
  <c r="G223" i="2"/>
  <c r="H223" i="2"/>
  <c r="I223" i="2"/>
  <c r="J223" i="2"/>
  <c r="K223" i="2"/>
  <c r="L223" i="2"/>
  <c r="M223" i="2"/>
  <c r="N223" i="2"/>
  <c r="O223" i="2"/>
  <c r="P223" i="2"/>
  <c r="Q223" i="2"/>
  <c r="R223" i="2"/>
  <c r="S223" i="2"/>
  <c r="T223" i="2"/>
  <c r="U223" i="2"/>
  <c r="V223" i="2"/>
  <c r="W223" i="2"/>
  <c r="X223" i="2"/>
  <c r="Y223" i="2"/>
  <c r="Z223" i="2"/>
  <c r="AA223" i="2"/>
  <c r="AB223" i="2"/>
  <c r="AC223" i="2"/>
  <c r="AD223" i="2"/>
  <c r="AE223" i="2"/>
  <c r="AF223" i="2"/>
  <c r="AG223" i="2"/>
  <c r="AH223" i="2"/>
  <c r="AI223" i="2"/>
  <c r="AJ223" i="2"/>
  <c r="AK223" i="2"/>
  <c r="AL223" i="2"/>
  <c r="AM223" i="2"/>
  <c r="AN223" i="2"/>
  <c r="AO223" i="2"/>
  <c r="AP223" i="2"/>
  <c r="AQ223" i="2"/>
  <c r="AR223" i="2"/>
  <c r="AS223" i="2"/>
  <c r="AT223" i="2"/>
  <c r="AU223" i="2"/>
  <c r="AV223" i="2"/>
  <c r="AW223" i="2"/>
  <c r="AX223" i="2"/>
  <c r="AY223" i="2"/>
  <c r="AZ223" i="2"/>
  <c r="BA223" i="2"/>
  <c r="BB223" i="2"/>
  <c r="BC223" i="2"/>
  <c r="BD223" i="2"/>
  <c r="BE223" i="2"/>
  <c r="BF223" i="2"/>
  <c r="BG223" i="2"/>
  <c r="BH223" i="2"/>
  <c r="BI223" i="2"/>
  <c r="BJ223" i="2"/>
  <c r="BK223" i="2"/>
  <c r="BL223" i="2"/>
  <c r="BM223" i="2"/>
  <c r="BN223" i="2"/>
  <c r="BO223" i="2"/>
  <c r="G224" i="2"/>
  <c r="H224" i="2"/>
  <c r="I224" i="2"/>
  <c r="J224" i="2"/>
  <c r="K224" i="2"/>
  <c r="L224" i="2"/>
  <c r="M224" i="2"/>
  <c r="N224" i="2"/>
  <c r="O224" i="2"/>
  <c r="P224" i="2"/>
  <c r="Q224" i="2"/>
  <c r="R224" i="2"/>
  <c r="S224" i="2"/>
  <c r="T224" i="2"/>
  <c r="U224" i="2"/>
  <c r="V224" i="2"/>
  <c r="W224" i="2"/>
  <c r="X224" i="2"/>
  <c r="Y224" i="2"/>
  <c r="Z224" i="2"/>
  <c r="AA224" i="2"/>
  <c r="AB224" i="2"/>
  <c r="AC224" i="2"/>
  <c r="AD224" i="2"/>
  <c r="AE224" i="2"/>
  <c r="AF224" i="2"/>
  <c r="AG224" i="2"/>
  <c r="AH224" i="2"/>
  <c r="AI224" i="2"/>
  <c r="AJ224" i="2"/>
  <c r="AK224" i="2"/>
  <c r="AL224" i="2"/>
  <c r="AM224" i="2"/>
  <c r="AN224" i="2"/>
  <c r="AO224" i="2"/>
  <c r="AP224" i="2"/>
  <c r="AQ224" i="2"/>
  <c r="AR224" i="2"/>
  <c r="AS224" i="2"/>
  <c r="AT224" i="2"/>
  <c r="AU224" i="2"/>
  <c r="AV224" i="2"/>
  <c r="AW224" i="2"/>
  <c r="AX224" i="2"/>
  <c r="AY224" i="2"/>
  <c r="AZ224" i="2"/>
  <c r="BA224" i="2"/>
  <c r="BB224" i="2"/>
  <c r="BC224" i="2"/>
  <c r="BD224" i="2"/>
  <c r="BE224" i="2"/>
  <c r="BF224" i="2"/>
  <c r="BG224" i="2"/>
  <c r="BH224" i="2"/>
  <c r="BI224" i="2"/>
  <c r="BJ224" i="2"/>
  <c r="BK224" i="2"/>
  <c r="BL224" i="2"/>
  <c r="BM224" i="2"/>
  <c r="BN224" i="2"/>
  <c r="BO224" i="2"/>
  <c r="F221" i="2"/>
  <c r="BI208" i="2"/>
  <c r="BJ208" i="2"/>
  <c r="BK208" i="2"/>
  <c r="BL208" i="2"/>
  <c r="BM208" i="2"/>
  <c r="BN208" i="2"/>
  <c r="BO208" i="2"/>
  <c r="BI205" i="2"/>
  <c r="BJ205" i="2"/>
  <c r="BK205" i="2"/>
  <c r="BL205" i="2"/>
  <c r="BM205" i="2"/>
  <c r="BN205" i="2"/>
  <c r="BO205" i="2"/>
  <c r="BI106" i="2"/>
  <c r="BJ106" i="2"/>
  <c r="BK106" i="2"/>
  <c r="BL106" i="2"/>
  <c r="BM106" i="2"/>
  <c r="BN106" i="2"/>
  <c r="BO106" i="2"/>
  <c r="F7" i="2"/>
  <c r="G7" i="2"/>
  <c r="H7" i="2"/>
  <c r="I7" i="2"/>
  <c r="J7" i="2"/>
  <c r="K7" i="2"/>
  <c r="L7" i="2"/>
  <c r="M7" i="2"/>
  <c r="N7" i="2"/>
  <c r="O7" i="2"/>
  <c r="P7" i="2"/>
  <c r="Q7" i="2"/>
  <c r="R7" i="2"/>
  <c r="S7" i="2"/>
  <c r="T7" i="2"/>
  <c r="U7" i="2"/>
  <c r="V7" i="2"/>
  <c r="W7" i="2"/>
  <c r="X7" i="2"/>
  <c r="Y7" i="2"/>
  <c r="Z7" i="2"/>
  <c r="AA7" i="2"/>
  <c r="AB7" i="2"/>
  <c r="AC7" i="2"/>
  <c r="AD7" i="2"/>
  <c r="AE7" i="2"/>
  <c r="AF7" i="2"/>
  <c r="AG7" i="2"/>
  <c r="AH7" i="2"/>
  <c r="AI7" i="2"/>
  <c r="AJ7" i="2"/>
  <c r="AK7" i="2"/>
  <c r="AL7" i="2"/>
  <c r="AM7" i="2"/>
  <c r="AN7" i="2"/>
  <c r="AO7" i="2"/>
  <c r="AP7" i="2"/>
  <c r="AQ7" i="2"/>
  <c r="AR7" i="2"/>
  <c r="AS7" i="2"/>
  <c r="AT7" i="2"/>
  <c r="AU7" i="2"/>
  <c r="AV7" i="2"/>
  <c r="AW7" i="2"/>
  <c r="AX7" i="2"/>
  <c r="AY7" i="2"/>
  <c r="AZ7" i="2"/>
  <c r="BA7" i="2"/>
  <c r="BB7" i="2"/>
  <c r="BC7" i="2"/>
  <c r="BD7" i="2"/>
  <c r="BE7" i="2"/>
  <c r="BF7" i="2"/>
  <c r="BG7" i="2"/>
  <c r="BH7" i="2"/>
  <c r="BI7" i="2"/>
  <c r="BJ7" i="2"/>
  <c r="BK7" i="2"/>
  <c r="BL7" i="2"/>
  <c r="BM7" i="2"/>
  <c r="BN7" i="2"/>
  <c r="BO7" i="2"/>
  <c r="E7" i="2"/>
  <c r="F106" i="2"/>
  <c r="G106" i="2"/>
  <c r="H106" i="2"/>
  <c r="I106" i="2"/>
  <c r="J106" i="2"/>
  <c r="K106" i="2"/>
  <c r="L106" i="2"/>
  <c r="M106" i="2"/>
  <c r="N106" i="2"/>
  <c r="O106" i="2"/>
  <c r="P106" i="2"/>
  <c r="Q106" i="2"/>
  <c r="R106" i="2"/>
  <c r="S106" i="2"/>
  <c r="T106" i="2"/>
  <c r="U106" i="2"/>
  <c r="V106" i="2"/>
  <c r="W106" i="2"/>
  <c r="X106" i="2"/>
  <c r="Y106" i="2"/>
  <c r="Z106" i="2"/>
  <c r="AA106" i="2"/>
  <c r="AB106" i="2"/>
  <c r="AC106" i="2"/>
  <c r="AD106" i="2"/>
  <c r="AE106" i="2"/>
  <c r="AF106" i="2"/>
  <c r="AG106" i="2"/>
  <c r="AH106" i="2"/>
  <c r="AI106" i="2"/>
  <c r="AJ106" i="2"/>
  <c r="AK106" i="2"/>
  <c r="AL106" i="2"/>
  <c r="AM106" i="2"/>
  <c r="AN106" i="2"/>
  <c r="AO106" i="2"/>
  <c r="AP106" i="2"/>
  <c r="AQ106" i="2"/>
  <c r="AR106" i="2"/>
  <c r="AS106" i="2"/>
  <c r="AT106" i="2"/>
  <c r="AU106" i="2"/>
  <c r="AV106" i="2"/>
  <c r="AW106" i="2"/>
  <c r="AX106" i="2"/>
  <c r="AY106" i="2"/>
  <c r="AZ106" i="2"/>
  <c r="BA106" i="2"/>
  <c r="BB106" i="2"/>
  <c r="BC106" i="2"/>
  <c r="BD106" i="2"/>
  <c r="BE106" i="2"/>
  <c r="BF106" i="2"/>
  <c r="BG106" i="2"/>
  <c r="BH106" i="2"/>
  <c r="E106" i="2"/>
  <c r="F205" i="2"/>
  <c r="G205" i="2"/>
  <c r="H205" i="2"/>
  <c r="I205" i="2"/>
  <c r="J205" i="2"/>
  <c r="K205" i="2"/>
  <c r="L205" i="2"/>
  <c r="M205" i="2"/>
  <c r="N205" i="2"/>
  <c r="O205" i="2"/>
  <c r="P205" i="2"/>
  <c r="Q205" i="2"/>
  <c r="R205" i="2"/>
  <c r="S205" i="2"/>
  <c r="T205" i="2"/>
  <c r="U205" i="2"/>
  <c r="V205" i="2"/>
  <c r="W205" i="2"/>
  <c r="X205" i="2"/>
  <c r="Y205" i="2"/>
  <c r="Z205" i="2"/>
  <c r="AA205" i="2"/>
  <c r="AB205" i="2"/>
  <c r="AC205" i="2"/>
  <c r="AD205" i="2"/>
  <c r="AE205" i="2"/>
  <c r="AF205" i="2"/>
  <c r="AG205" i="2"/>
  <c r="AH205" i="2"/>
  <c r="AI205" i="2"/>
  <c r="AJ205" i="2"/>
  <c r="AK205" i="2"/>
  <c r="AL205" i="2"/>
  <c r="AM205" i="2"/>
  <c r="AN205" i="2"/>
  <c r="AO205" i="2"/>
  <c r="AP205" i="2"/>
  <c r="AQ205" i="2"/>
  <c r="AR205" i="2"/>
  <c r="AS205" i="2"/>
  <c r="AT205" i="2"/>
  <c r="AU205" i="2"/>
  <c r="AV205" i="2"/>
  <c r="AW205" i="2"/>
  <c r="AX205" i="2"/>
  <c r="AY205" i="2"/>
  <c r="AZ205" i="2"/>
  <c r="BA205" i="2"/>
  <c r="BB205" i="2"/>
  <c r="BC205" i="2"/>
  <c r="BD205" i="2"/>
  <c r="BE205" i="2"/>
  <c r="BF205" i="2"/>
  <c r="BG205" i="2"/>
  <c r="BH205" i="2"/>
  <c r="E205" i="2"/>
  <c r="T35" i="25"/>
  <c r="T36" i="25" s="1"/>
  <c r="P462" i="16"/>
  <c r="P223" i="16"/>
  <c r="P103" i="16"/>
  <c r="O85" i="16"/>
  <c r="O82" i="16"/>
  <c r="O76" i="16"/>
  <c r="P475" i="16"/>
  <c r="U35" i="25"/>
  <c r="B324" i="16"/>
  <c r="B323" i="16"/>
  <c r="B322" i="16"/>
  <c r="U36" i="25"/>
  <c r="Q462" i="16"/>
  <c r="Q223" i="16"/>
  <c r="Q103" i="16"/>
  <c r="P85" i="16"/>
  <c r="P82" i="16"/>
  <c r="P76" i="16"/>
  <c r="Q475" i="16"/>
  <c r="Q85" i="16"/>
  <c r="Q82" i="16"/>
  <c r="Q76" i="16"/>
  <c r="R462" i="16"/>
  <c r="R223" i="16"/>
  <c r="R103" i="16"/>
  <c r="R475" i="16"/>
  <c r="S462" i="16"/>
  <c r="S463" i="16" s="1"/>
  <c r="S469" i="16" s="1"/>
  <c r="S476" i="16" s="1"/>
  <c r="S223" i="16"/>
  <c r="S227" i="16"/>
  <c r="S103" i="16"/>
  <c r="R85" i="16"/>
  <c r="R82" i="16"/>
  <c r="R76" i="16"/>
  <c r="S475" i="16"/>
  <c r="S85" i="16"/>
  <c r="S87" i="16" s="1"/>
  <c r="S89" i="16" s="1"/>
  <c r="S92" i="16" s="1"/>
  <c r="S93" i="16" s="1"/>
  <c r="S82" i="16"/>
  <c r="S84" i="16" s="1"/>
  <c r="S76" i="16"/>
  <c r="M26" i="5"/>
  <c r="S10" i="16"/>
  <c r="O13" i="16"/>
  <c r="P13" i="16"/>
  <c r="Q13" i="16"/>
  <c r="S16" i="16"/>
  <c r="S18" i="16"/>
  <c r="O21" i="16"/>
  <c r="P21" i="16"/>
  <c r="Q21" i="16"/>
  <c r="R21" i="16"/>
  <c r="S24" i="16"/>
  <c r="S26" i="16"/>
  <c r="S30" i="16"/>
  <c r="T30" i="16" s="1"/>
  <c r="T29" i="16" s="1"/>
  <c r="T174" i="16" s="1"/>
  <c r="S36" i="16"/>
  <c r="O115" i="16"/>
  <c r="P115" i="16"/>
  <c r="Q115" i="16"/>
  <c r="R115" i="16"/>
  <c r="O130" i="16"/>
  <c r="P130" i="16"/>
  <c r="Q130" i="16"/>
  <c r="R130" i="16"/>
  <c r="O140" i="16"/>
  <c r="O39" i="16" s="1"/>
  <c r="P140" i="16"/>
  <c r="Q140" i="16"/>
  <c r="R140" i="16"/>
  <c r="O149" i="16"/>
  <c r="P149" i="16"/>
  <c r="Q149" i="16"/>
  <c r="O153" i="16"/>
  <c r="P153" i="16"/>
  <c r="Q153" i="16"/>
  <c r="O184" i="16"/>
  <c r="P184" i="16"/>
  <c r="Q184" i="16"/>
  <c r="Q189" i="16" s="1"/>
  <c r="Q190" i="16" s="1"/>
  <c r="R184" i="16"/>
  <c r="O187" i="16"/>
  <c r="P187" i="16"/>
  <c r="Q187" i="16"/>
  <c r="R187" i="16"/>
  <c r="O189" i="16"/>
  <c r="O190" i="16" s="1"/>
  <c r="O191" i="16" s="1"/>
  <c r="P189" i="16"/>
  <c r="P190" i="16"/>
  <c r="R189" i="16"/>
  <c r="O206" i="16"/>
  <c r="P206" i="16"/>
  <c r="Q206" i="16"/>
  <c r="R206" i="16"/>
  <c r="O213" i="16"/>
  <c r="O123" i="16" s="1"/>
  <c r="P213" i="16"/>
  <c r="P123" i="16" s="1"/>
  <c r="Q213" i="16"/>
  <c r="Q123" i="16" s="1"/>
  <c r="R213" i="16"/>
  <c r="R123" i="16"/>
  <c r="O220" i="16"/>
  <c r="P220" i="16"/>
  <c r="Q220" i="16"/>
  <c r="R220" i="16"/>
  <c r="P236" i="16"/>
  <c r="Q236" i="16"/>
  <c r="R236" i="16"/>
  <c r="P239" i="16"/>
  <c r="Q239" i="16"/>
  <c r="R239" i="16"/>
  <c r="O43" i="16"/>
  <c r="P43" i="16"/>
  <c r="Q43" i="16"/>
  <c r="O252" i="16"/>
  <c r="P252" i="16"/>
  <c r="Q252" i="16"/>
  <c r="R252" i="16"/>
  <c r="O255" i="16"/>
  <c r="P255" i="16"/>
  <c r="Q255" i="16"/>
  <c r="R255" i="16"/>
  <c r="O265" i="16"/>
  <c r="P265" i="16"/>
  <c r="Q265" i="16"/>
  <c r="R265" i="16"/>
  <c r="O267" i="16"/>
  <c r="P267" i="16"/>
  <c r="Q267" i="16"/>
  <c r="R267" i="16"/>
  <c r="O283" i="16"/>
  <c r="P283" i="16"/>
  <c r="Q283" i="16"/>
  <c r="R283" i="16"/>
  <c r="O286" i="16"/>
  <c r="O287" i="16" s="1"/>
  <c r="O288" i="16" s="1"/>
  <c r="P286" i="16"/>
  <c r="P287" i="16" s="1"/>
  <c r="P288" i="16" s="1"/>
  <c r="Q286" i="16"/>
  <c r="Q287" i="16"/>
  <c r="R286" i="16"/>
  <c r="R287" i="16" s="1"/>
  <c r="O307" i="16"/>
  <c r="P307" i="16"/>
  <c r="Q307" i="16"/>
  <c r="R307" i="16"/>
  <c r="S468" i="16"/>
  <c r="O331" i="16"/>
  <c r="P331" i="16"/>
  <c r="Q331" i="16"/>
  <c r="R331" i="16"/>
  <c r="O51" i="16"/>
  <c r="P51" i="16"/>
  <c r="Q51" i="16"/>
  <c r="R51" i="16"/>
  <c r="O359" i="16"/>
  <c r="P359" i="16"/>
  <c r="Q359" i="16"/>
  <c r="R359" i="16"/>
  <c r="O467" i="16"/>
  <c r="Q467" i="16"/>
  <c r="R467" i="16"/>
  <c r="O159" i="16"/>
  <c r="P159" i="16"/>
  <c r="Q159" i="16"/>
  <c r="R159" i="16"/>
  <c r="S408" i="16"/>
  <c r="Q407" i="16"/>
  <c r="Q63" i="16"/>
  <c r="R407" i="16"/>
  <c r="R63" i="16" s="1"/>
  <c r="Q409" i="16"/>
  <c r="R409" i="16"/>
  <c r="Q410" i="16"/>
  <c r="R410" i="16"/>
  <c r="R422" i="16"/>
  <c r="Q422" i="16"/>
  <c r="Q64" i="16" s="1"/>
  <c r="O422" i="16"/>
  <c r="P422" i="16"/>
  <c r="Q441" i="16"/>
  <c r="R441" i="16"/>
  <c r="O446" i="16"/>
  <c r="P446" i="16"/>
  <c r="Q446" i="16"/>
  <c r="R446" i="16"/>
  <c r="P467" i="16"/>
  <c r="O472" i="16"/>
  <c r="P472" i="16"/>
  <c r="Q472" i="16"/>
  <c r="R472" i="16"/>
  <c r="O474" i="16"/>
  <c r="P474" i="16"/>
  <c r="Q474" i="16"/>
  <c r="R474" i="16"/>
  <c r="O242" i="16"/>
  <c r="M472" i="16"/>
  <c r="M255" i="16"/>
  <c r="M286" i="16"/>
  <c r="M287" i="16" s="1"/>
  <c r="M43" i="16"/>
  <c r="M265" i="16"/>
  <c r="M267" i="16"/>
  <c r="M51" i="16"/>
  <c r="M160" i="16"/>
  <c r="M266" i="16"/>
  <c r="M467" i="16"/>
  <c r="M159" i="16"/>
  <c r="M446" i="16"/>
  <c r="M288" i="16"/>
  <c r="O141" i="16"/>
  <c r="M161" i="16"/>
  <c r="P39" i="16"/>
  <c r="P141" i="16"/>
  <c r="R43" i="16"/>
  <c r="S242" i="16"/>
  <c r="R13" i="16"/>
  <c r="S12" i="16"/>
  <c r="Q36" i="16"/>
  <c r="Q26" i="16"/>
  <c r="Q24" i="16"/>
  <c r="Q18" i="16"/>
  <c r="Q16" i="16"/>
  <c r="Q12" i="16"/>
  <c r="P143" i="16"/>
  <c r="R36" i="16"/>
  <c r="P36" i="16"/>
  <c r="M427" i="16"/>
  <c r="Q30" i="16"/>
  <c r="R30" i="16"/>
  <c r="M149" i="16"/>
  <c r="M153" i="16" s="1"/>
  <c r="R19" i="16"/>
  <c r="M206" i="16"/>
  <c r="M84" i="16"/>
  <c r="M422" i="16"/>
  <c r="M337" i="16"/>
  <c r="Q337" i="16"/>
  <c r="O337" i="16"/>
  <c r="O48" i="16" s="1"/>
  <c r="O50" i="16" s="1"/>
  <c r="M410" i="16"/>
  <c r="R337" i="16"/>
  <c r="R48" i="16" s="1"/>
  <c r="R50" i="16" s="1"/>
  <c r="P337" i="16"/>
  <c r="P48" i="16"/>
  <c r="P50" i="16"/>
  <c r="R26" i="16"/>
  <c r="P22" i="16"/>
  <c r="P19" i="16"/>
  <c r="Q10" i="16"/>
  <c r="P26" i="16"/>
  <c r="M256" i="16"/>
  <c r="M227" i="16"/>
  <c r="M44" i="16" s="1"/>
  <c r="R12" i="16"/>
  <c r="P12" i="16"/>
  <c r="M236" i="16"/>
  <c r="M239" i="16" s="1"/>
  <c r="M130" i="16"/>
  <c r="M115" i="16"/>
  <c r="P30" i="16"/>
  <c r="R24" i="16"/>
  <c r="P24" i="16"/>
  <c r="R18" i="16"/>
  <c r="P18" i="16"/>
  <c r="M213" i="16"/>
  <c r="M123" i="16"/>
  <c r="M463" i="16"/>
  <c r="M469" i="16" s="1"/>
  <c r="M59" i="16" s="1"/>
  <c r="M407" i="16"/>
  <c r="M63" i="16" s="1"/>
  <c r="M348" i="16"/>
  <c r="M350" i="16"/>
  <c r="M100" i="16"/>
  <c r="M105" i="16" s="1"/>
  <c r="M87" i="16"/>
  <c r="M89" i="16"/>
  <c r="M92" i="16"/>
  <c r="M93" i="16" s="1"/>
  <c r="Q19" i="16"/>
  <c r="O19" i="16"/>
  <c r="R16" i="16"/>
  <c r="P16" i="16"/>
  <c r="R10" i="16"/>
  <c r="P10" i="16"/>
  <c r="M331" i="16"/>
  <c r="M48" i="16" s="1"/>
  <c r="M50" i="16"/>
  <c r="M64" i="16"/>
  <c r="M252" i="16"/>
  <c r="M56" i="16"/>
  <c r="R68" i="16"/>
  <c r="Q256" i="16"/>
  <c r="O256" i="16"/>
  <c r="O64" i="16"/>
  <c r="P42" i="16"/>
  <c r="M409" i="16"/>
  <c r="M359" i="16"/>
  <c r="M283" i="16"/>
  <c r="M220" i="16"/>
  <c r="M140" i="16"/>
  <c r="M142" i="16" s="1"/>
  <c r="Q68" i="16"/>
  <c r="R256" i="16"/>
  <c r="R257" i="16"/>
  <c r="P256" i="16"/>
  <c r="R64" i="16"/>
  <c r="P64" i="16"/>
  <c r="R242" i="16"/>
  <c r="R42" i="16"/>
  <c r="Q242" i="16"/>
  <c r="P242" i="16"/>
  <c r="R408" i="16"/>
  <c r="Q408" i="16"/>
  <c r="M474" i="16"/>
  <c r="M104" i="16"/>
  <c r="M39" i="16"/>
  <c r="M141" i="16"/>
  <c r="O257" i="16"/>
  <c r="O258" i="16"/>
  <c r="Q257" i="16"/>
  <c r="R258" i="16"/>
  <c r="AB159" i="16"/>
  <c r="F15" i="15"/>
  <c r="F36" i="15" s="1"/>
  <c r="G15" i="15"/>
  <c r="H15" i="15"/>
  <c r="I15" i="15"/>
  <c r="R18" i="20"/>
  <c r="R23" i="20" s="1"/>
  <c r="M12" i="5"/>
  <c r="M16" i="5" s="1"/>
  <c r="Q100" i="16"/>
  <c r="O100" i="16"/>
  <c r="R100" i="16"/>
  <c r="P100" i="16"/>
  <c r="P142" i="16"/>
  <c r="R25" i="20"/>
  <c r="R364" i="16"/>
  <c r="R362" i="16"/>
  <c r="R160" i="16"/>
  <c r="R161" i="16"/>
  <c r="T25" i="20"/>
  <c r="U25" i="20"/>
  <c r="V25" i="20" s="1"/>
  <c r="R266" i="16"/>
  <c r="R365" i="16"/>
  <c r="R268" i="16"/>
  <c r="R269" i="16" s="1"/>
  <c r="T23" i="20"/>
  <c r="P441" i="16"/>
  <c r="P68" i="16"/>
  <c r="U23" i="20"/>
  <c r="T26" i="20"/>
  <c r="O441" i="16"/>
  <c r="O68" i="16"/>
  <c r="M184" i="16"/>
  <c r="M187" i="16" s="1"/>
  <c r="M42" i="16" s="1"/>
  <c r="M45" i="16" s="1"/>
  <c r="P407" i="16"/>
  <c r="P63" i="16" s="1"/>
  <c r="P410" i="16"/>
  <c r="P409" i="16"/>
  <c r="M441" i="16"/>
  <c r="M68" i="16" s="1"/>
  <c r="O407" i="16"/>
  <c r="O63" i="16" s="1"/>
  <c r="O410" i="16"/>
  <c r="O409" i="16"/>
  <c r="O408" i="16" s="1"/>
  <c r="M189" i="16"/>
  <c r="B93" i="16"/>
  <c r="B80" i="16"/>
  <c r="O18" i="20"/>
  <c r="O25" i="20" s="1"/>
  <c r="P18" i="20"/>
  <c r="Q18" i="20"/>
  <c r="G29" i="20"/>
  <c r="H29" i="20"/>
  <c r="I29" i="20"/>
  <c r="J29" i="20"/>
  <c r="K29" i="20"/>
  <c r="L29" i="20"/>
  <c r="F29" i="20"/>
  <c r="S43" i="20"/>
  <c r="T43" i="20"/>
  <c r="U43" i="20"/>
  <c r="V43" i="20"/>
  <c r="W43" i="20"/>
  <c r="X43" i="20"/>
  <c r="Y43" i="20"/>
  <c r="Z43" i="20"/>
  <c r="AA43" i="20"/>
  <c r="AB43" i="20"/>
  <c r="O43" i="20"/>
  <c r="P43" i="20"/>
  <c r="Q43" i="20"/>
  <c r="O36" i="20"/>
  <c r="P36" i="20"/>
  <c r="Q36" i="20"/>
  <c r="R36" i="20"/>
  <c r="S36" i="20"/>
  <c r="T36" i="20"/>
  <c r="U36" i="20"/>
  <c r="V36" i="20"/>
  <c r="W36" i="20"/>
  <c r="X36" i="20"/>
  <c r="Y36" i="20"/>
  <c r="Z36" i="20"/>
  <c r="AA36" i="20"/>
  <c r="AB36" i="20"/>
  <c r="P25" i="20"/>
  <c r="P23" i="20"/>
  <c r="O23" i="20"/>
  <c r="M29" i="20"/>
  <c r="O364" i="16"/>
  <c r="O266" i="16" s="1"/>
  <c r="Q364" i="16"/>
  <c r="P362" i="16"/>
  <c r="P160" i="16" s="1"/>
  <c r="O362" i="16"/>
  <c r="O160" i="16" s="1"/>
  <c r="Q362" i="16"/>
  <c r="P364" i="16"/>
  <c r="P266" i="16" s="1"/>
  <c r="P268" i="16"/>
  <c r="P269" i="16" s="1"/>
  <c r="O365" i="16"/>
  <c r="Q365" i="16"/>
  <c r="T365" i="16" s="1"/>
  <c r="P365" i="16"/>
  <c r="B76" i="16"/>
  <c r="F28" i="15"/>
  <c r="G28" i="15"/>
  <c r="G36" i="15" s="1"/>
  <c r="H28" i="15"/>
  <c r="H36" i="15" s="1"/>
  <c r="I28" i="15"/>
  <c r="E28" i="15"/>
  <c r="E15" i="15"/>
  <c r="I36" i="15"/>
  <c r="P191" i="16"/>
  <c r="P193" i="16" s="1"/>
  <c r="Q191" i="16"/>
  <c r="O193" i="16"/>
  <c r="E36" i="15"/>
  <c r="B499" i="16"/>
  <c r="B485" i="16"/>
  <c r="B479" i="16"/>
  <c r="B475" i="16"/>
  <c r="B473" i="16"/>
  <c r="B471" i="16"/>
  <c r="B466" i="16"/>
  <c r="B465" i="16"/>
  <c r="B464" i="16"/>
  <c r="B462" i="16"/>
  <c r="B461" i="16"/>
  <c r="B460" i="16"/>
  <c r="B459" i="16"/>
  <c r="B458" i="16"/>
  <c r="B457" i="16"/>
  <c r="B456" i="16"/>
  <c r="B453" i="16"/>
  <c r="B452" i="16"/>
  <c r="B449" i="16"/>
  <c r="B448" i="16"/>
  <c r="B445" i="16"/>
  <c r="B444" i="16"/>
  <c r="B440" i="16"/>
  <c r="B439" i="16"/>
  <c r="B438" i="16"/>
  <c r="B437" i="16"/>
  <c r="B434" i="16"/>
  <c r="B433" i="16"/>
  <c r="B431" i="16"/>
  <c r="B429" i="16"/>
  <c r="B424" i="16"/>
  <c r="B421" i="16"/>
  <c r="B420" i="16"/>
  <c r="B419" i="16"/>
  <c r="B416" i="16"/>
  <c r="B415" i="16"/>
  <c r="B413" i="16"/>
  <c r="B412" i="16"/>
  <c r="B411" i="16"/>
  <c r="B406" i="16"/>
  <c r="B405" i="16"/>
  <c r="B404" i="16"/>
  <c r="B401" i="16"/>
  <c r="B400" i="16"/>
  <c r="B398" i="16"/>
  <c r="B397" i="16"/>
  <c r="B394" i="16"/>
  <c r="B393" i="16"/>
  <c r="Z159" i="16"/>
  <c r="X159" i="16"/>
  <c r="V159" i="16"/>
  <c r="N159" i="16"/>
  <c r="N161" i="16" s="1"/>
  <c r="K159" i="16"/>
  <c r="I159" i="16"/>
  <c r="G159" i="16"/>
  <c r="B392" i="16"/>
  <c r="B391" i="16"/>
  <c r="B390" i="16"/>
  <c r="B389" i="16"/>
  <c r="B385" i="16"/>
  <c r="B384" i="16"/>
  <c r="B380" i="16"/>
  <c r="B376" i="16"/>
  <c r="B375" i="16"/>
  <c r="B372" i="16"/>
  <c r="B371" i="16"/>
  <c r="B370" i="16"/>
  <c r="B367" i="16"/>
  <c r="N467" i="16"/>
  <c r="N468" i="16" s="1"/>
  <c r="L467" i="16"/>
  <c r="K467" i="16"/>
  <c r="J467" i="16"/>
  <c r="J468" i="16" s="1"/>
  <c r="I467" i="16"/>
  <c r="I468" i="16" s="1"/>
  <c r="H467" i="16"/>
  <c r="G467" i="16"/>
  <c r="F467" i="16"/>
  <c r="F468" i="16" s="1"/>
  <c r="F469" i="16" s="1"/>
  <c r="B366" i="16"/>
  <c r="B365" i="16"/>
  <c r="N266" i="16"/>
  <c r="L266" i="16"/>
  <c r="J266" i="16"/>
  <c r="H266" i="16"/>
  <c r="F266" i="16"/>
  <c r="B364" i="16"/>
  <c r="B363" i="16"/>
  <c r="L160" i="16"/>
  <c r="J160" i="16"/>
  <c r="H160" i="16"/>
  <c r="F160" i="16"/>
  <c r="B362" i="16"/>
  <c r="B358" i="16"/>
  <c r="B357" i="16"/>
  <c r="B356" i="16"/>
  <c r="B355" i="16"/>
  <c r="B352" i="16"/>
  <c r="B350" i="16"/>
  <c r="B346" i="16"/>
  <c r="B343" i="16"/>
  <c r="N51" i="16"/>
  <c r="L51" i="16"/>
  <c r="K51" i="16"/>
  <c r="J51" i="16"/>
  <c r="I51" i="16"/>
  <c r="H51" i="16"/>
  <c r="B341" i="16"/>
  <c r="B340" i="16"/>
  <c r="B338" i="16"/>
  <c r="B336" i="16"/>
  <c r="T335" i="16"/>
  <c r="B335" i="16"/>
  <c r="B334" i="16"/>
  <c r="B330" i="16"/>
  <c r="B329" i="16"/>
  <c r="T328" i="16"/>
  <c r="U328" i="16" s="1"/>
  <c r="V328" i="16"/>
  <c r="W328" i="16" s="1"/>
  <c r="X328" i="16" s="1"/>
  <c r="Y328" i="16" s="1"/>
  <c r="Z328" i="16" s="1"/>
  <c r="AA328" i="16" s="1"/>
  <c r="AB328" i="16" s="1"/>
  <c r="AC328" i="16" s="1"/>
  <c r="B328" i="16"/>
  <c r="B327" i="16"/>
  <c r="E320" i="16"/>
  <c r="F320" i="16" s="1"/>
  <c r="F321" i="16" s="1"/>
  <c r="B319" i="16"/>
  <c r="B318" i="16"/>
  <c r="B317" i="16"/>
  <c r="B316" i="16"/>
  <c r="B315" i="16"/>
  <c r="B314" i="16"/>
  <c r="B311" i="16"/>
  <c r="B310" i="16"/>
  <c r="B308" i="16"/>
  <c r="B306" i="16"/>
  <c r="B305" i="16"/>
  <c r="B302" i="16"/>
  <c r="B301" i="16"/>
  <c r="B299" i="16"/>
  <c r="B298" i="16"/>
  <c r="B296" i="16"/>
  <c r="B295" i="16"/>
  <c r="B293" i="16"/>
  <c r="B292" i="16"/>
  <c r="B291" i="16"/>
  <c r="B289" i="16"/>
  <c r="B287" i="16"/>
  <c r="B282" i="16"/>
  <c r="B281" i="16"/>
  <c r="B280" i="16"/>
  <c r="B279" i="16"/>
  <c r="B276" i="16"/>
  <c r="T275" i="16"/>
  <c r="U275" i="16"/>
  <c r="V275" i="16" s="1"/>
  <c r="W275" i="16"/>
  <c r="X275" i="16" s="1"/>
  <c r="B275" i="16"/>
  <c r="B273" i="16"/>
  <c r="T272" i="16"/>
  <c r="U272" i="16"/>
  <c r="V272" i="16" s="1"/>
  <c r="W272" i="16"/>
  <c r="X272" i="16" s="1"/>
  <c r="Y272" i="16"/>
  <c r="Z272" i="16" s="1"/>
  <c r="B272" i="16"/>
  <c r="B270" i="16"/>
  <c r="B268" i="16"/>
  <c r="N267" i="16"/>
  <c r="L267" i="16"/>
  <c r="L268" i="16" s="1"/>
  <c r="K267" i="16"/>
  <c r="J267" i="16"/>
  <c r="I267" i="16"/>
  <c r="H267" i="16"/>
  <c r="G267" i="16"/>
  <c r="F267" i="16"/>
  <c r="K266" i="16"/>
  <c r="I266" i="16"/>
  <c r="I268" i="16" s="1"/>
  <c r="G266" i="16"/>
  <c r="G268" i="16" s="1"/>
  <c r="B261" i="16"/>
  <c r="B260" i="16"/>
  <c r="B259" i="16"/>
  <c r="B257" i="16"/>
  <c r="N256" i="16"/>
  <c r="L256" i="16"/>
  <c r="J256" i="16"/>
  <c r="H256" i="16"/>
  <c r="H257" i="16" s="1"/>
  <c r="F256" i="16"/>
  <c r="B251" i="16"/>
  <c r="B250" i="16"/>
  <c r="B249" i="16"/>
  <c r="B246" i="16"/>
  <c r="T245" i="16"/>
  <c r="U245" i="16"/>
  <c r="V245" i="16" s="1"/>
  <c r="W245" i="16" s="1"/>
  <c r="X245" i="16" s="1"/>
  <c r="Y245" i="16" s="1"/>
  <c r="Z245" i="16" s="1"/>
  <c r="AA245" i="16" s="1"/>
  <c r="AB245" i="16" s="1"/>
  <c r="AC245" i="16" s="1"/>
  <c r="B245" i="16"/>
  <c r="B243" i="16"/>
  <c r="N242" i="16"/>
  <c r="M242" i="16"/>
  <c r="K43" i="16"/>
  <c r="I43" i="16"/>
  <c r="B241" i="16"/>
  <c r="B238" i="16"/>
  <c r="T237" i="16"/>
  <c r="U237" i="16" s="1"/>
  <c r="V237" i="16" s="1"/>
  <c r="W237" i="16" s="1"/>
  <c r="X237" i="16" s="1"/>
  <c r="Y237" i="16" s="1"/>
  <c r="Z237" i="16"/>
  <c r="AA237" i="16" s="1"/>
  <c r="AB237" i="16" s="1"/>
  <c r="AC237" i="16" s="1"/>
  <c r="B237" i="16"/>
  <c r="B235" i="16"/>
  <c r="B234" i="16"/>
  <c r="B233" i="16"/>
  <c r="B232" i="16"/>
  <c r="B226" i="16"/>
  <c r="B225" i="16"/>
  <c r="B224" i="16"/>
  <c r="B223" i="16"/>
  <c r="B219" i="16"/>
  <c r="B218" i="16"/>
  <c r="B217" i="16"/>
  <c r="B216" i="16"/>
  <c r="B212" i="16"/>
  <c r="B211" i="16"/>
  <c r="B210" i="16"/>
  <c r="B209" i="16"/>
  <c r="B205" i="16"/>
  <c r="B204" i="16"/>
  <c r="B203" i="16"/>
  <c r="B202" i="16"/>
  <c r="B199" i="16"/>
  <c r="B198" i="16"/>
  <c r="B197" i="16"/>
  <c r="B193" i="16"/>
  <c r="T192" i="16"/>
  <c r="U192" i="16"/>
  <c r="V192" i="16" s="1"/>
  <c r="W192" i="16" s="1"/>
  <c r="X192" i="16" s="1"/>
  <c r="Y192" i="16" s="1"/>
  <c r="Z192" i="16" s="1"/>
  <c r="AA192" i="16" s="1"/>
  <c r="AB192" i="16" s="1"/>
  <c r="AC192" i="16" s="1"/>
  <c r="B192" i="16"/>
  <c r="B190" i="16"/>
  <c r="B188" i="16"/>
  <c r="N265" i="16"/>
  <c r="L265" i="16"/>
  <c r="K265" i="16"/>
  <c r="K268" i="16"/>
  <c r="J265" i="16"/>
  <c r="I265" i="16"/>
  <c r="H265" i="16"/>
  <c r="G265" i="16"/>
  <c r="F265" i="16"/>
  <c r="B186" i="16"/>
  <c r="U185" i="16"/>
  <c r="U286" i="16"/>
  <c r="T185" i="16"/>
  <c r="T286" i="16"/>
  <c r="N286" i="16"/>
  <c r="N287" i="16"/>
  <c r="L286" i="16"/>
  <c r="L287" i="16"/>
  <c r="K286" i="16"/>
  <c r="K287" i="16"/>
  <c r="J286" i="16"/>
  <c r="J287" i="16"/>
  <c r="J288" i="16" s="1"/>
  <c r="I286" i="16"/>
  <c r="I287" i="16"/>
  <c r="H286" i="16"/>
  <c r="H287" i="16"/>
  <c r="G286" i="16"/>
  <c r="G287" i="16"/>
  <c r="G288" i="16" s="1"/>
  <c r="F286" i="16"/>
  <c r="F287" i="16"/>
  <c r="B185" i="16"/>
  <c r="B183" i="16"/>
  <c r="N255" i="16"/>
  <c r="N257" i="16"/>
  <c r="L255" i="16"/>
  <c r="L257" i="16"/>
  <c r="K255" i="16"/>
  <c r="J255" i="16"/>
  <c r="I255" i="16"/>
  <c r="H255" i="16"/>
  <c r="G255" i="16"/>
  <c r="F255" i="16"/>
  <c r="F257" i="16"/>
  <c r="F258" i="16" s="1"/>
  <c r="B182" i="16"/>
  <c r="B181" i="16"/>
  <c r="B180" i="16"/>
  <c r="B179" i="16"/>
  <c r="B178" i="16"/>
  <c r="B177" i="16"/>
  <c r="B176" i="16"/>
  <c r="B175" i="16"/>
  <c r="B174" i="16"/>
  <c r="B173" i="16"/>
  <c r="N184" i="16"/>
  <c r="B172" i="16"/>
  <c r="B169" i="16"/>
  <c r="B168" i="16"/>
  <c r="B165" i="16"/>
  <c r="B164" i="16"/>
  <c r="T163" i="16"/>
  <c r="U163" i="16" s="1"/>
  <c r="V163" i="16"/>
  <c r="W163" i="16" s="1"/>
  <c r="X163" i="16"/>
  <c r="Y163" i="16" s="1"/>
  <c r="Z163" i="16" s="1"/>
  <c r="AA163" i="16" s="1"/>
  <c r="AB163" i="16" s="1"/>
  <c r="AC163" i="16" s="1"/>
  <c r="B163" i="16"/>
  <c r="B161" i="16"/>
  <c r="N160" i="16"/>
  <c r="K160" i="16"/>
  <c r="I160" i="16"/>
  <c r="I161" i="16" s="1"/>
  <c r="G160" i="16"/>
  <c r="G161" i="16" s="1"/>
  <c r="AA159" i="16"/>
  <c r="Y159" i="16"/>
  <c r="W159" i="16"/>
  <c r="U159" i="16"/>
  <c r="L159" i="16"/>
  <c r="L161" i="16" s="1"/>
  <c r="J159" i="16"/>
  <c r="J161" i="16"/>
  <c r="J162" i="16" s="1"/>
  <c r="J166" i="16" s="1"/>
  <c r="H159" i="16"/>
  <c r="F159" i="16"/>
  <c r="B156" i="16"/>
  <c r="B155" i="16"/>
  <c r="B152" i="16"/>
  <c r="B151" i="16"/>
  <c r="T150" i="16"/>
  <c r="U150" i="16" s="1"/>
  <c r="V150" i="16"/>
  <c r="W150" i="16" s="1"/>
  <c r="X150" i="16" s="1"/>
  <c r="Y150" i="16" s="1"/>
  <c r="Z150" i="16" s="1"/>
  <c r="AA150" i="16" s="1"/>
  <c r="AB150" i="16" s="1"/>
  <c r="AC150" i="16" s="1"/>
  <c r="B150" i="16"/>
  <c r="B148" i="16"/>
  <c r="B147" i="16"/>
  <c r="B146" i="16"/>
  <c r="B141" i="16"/>
  <c r="B139" i="16"/>
  <c r="B138" i="16"/>
  <c r="B137" i="16"/>
  <c r="B136" i="16"/>
  <c r="F140" i="16"/>
  <c r="B135" i="16"/>
  <c r="B129" i="16"/>
  <c r="B128" i="16"/>
  <c r="B127" i="16"/>
  <c r="B126" i="16"/>
  <c r="B125" i="16"/>
  <c r="B124" i="16"/>
  <c r="B122" i="16"/>
  <c r="B121" i="16"/>
  <c r="B120" i="16"/>
  <c r="B119" i="16"/>
  <c r="B114" i="16"/>
  <c r="B113" i="16"/>
  <c r="N472" i="16"/>
  <c r="L472" i="16"/>
  <c r="K472" i="16"/>
  <c r="J472" i="16"/>
  <c r="I472" i="16"/>
  <c r="H472" i="16"/>
  <c r="G472" i="16"/>
  <c r="F472" i="16"/>
  <c r="F474" i="16" s="1"/>
  <c r="B112" i="16"/>
  <c r="B110" i="16"/>
  <c r="B109" i="16"/>
  <c r="B108" i="16"/>
  <c r="B107" i="16"/>
  <c r="B106" i="16"/>
  <c r="B103" i="16"/>
  <c r="B102" i="16"/>
  <c r="B101" i="16"/>
  <c r="B99" i="16"/>
  <c r="B98" i="16"/>
  <c r="B97" i="16"/>
  <c r="B96" i="16"/>
  <c r="B95" i="16"/>
  <c r="K348" i="16"/>
  <c r="K350" i="16" s="1"/>
  <c r="K351" i="16" s="1"/>
  <c r="I348" i="16"/>
  <c r="I350" i="16"/>
  <c r="G348" i="16"/>
  <c r="G350" i="16" s="1"/>
  <c r="B91" i="16"/>
  <c r="B90" i="16"/>
  <c r="B88" i="16"/>
  <c r="B86" i="16"/>
  <c r="K87" i="16"/>
  <c r="J87" i="16"/>
  <c r="I87" i="16"/>
  <c r="H87" i="16"/>
  <c r="H89" i="16" s="1"/>
  <c r="G87" i="16"/>
  <c r="F87" i="16"/>
  <c r="B85" i="16"/>
  <c r="B83" i="16"/>
  <c r="L84" i="16"/>
  <c r="K84" i="16"/>
  <c r="K67" i="16"/>
  <c r="J84" i="16"/>
  <c r="J67" i="16" s="1"/>
  <c r="I84" i="16"/>
  <c r="I67" i="16" s="1"/>
  <c r="H84" i="16"/>
  <c r="H67" i="16" s="1"/>
  <c r="G84" i="16"/>
  <c r="G67" i="16"/>
  <c r="F84" i="16"/>
  <c r="F67" i="16" s="1"/>
  <c r="B82" i="16"/>
  <c r="B79" i="16"/>
  <c r="B71" i="16"/>
  <c r="N43" i="16"/>
  <c r="G43" i="16"/>
  <c r="O36" i="16"/>
  <c r="B35" i="16"/>
  <c r="B33" i="16"/>
  <c r="B32" i="16"/>
  <c r="B31" i="16"/>
  <c r="O30" i="16"/>
  <c r="B29" i="16"/>
  <c r="B27" i="16"/>
  <c r="O26" i="16"/>
  <c r="B25" i="16"/>
  <c r="O24" i="16"/>
  <c r="B23" i="16"/>
  <c r="B20" i="16"/>
  <c r="O18" i="16"/>
  <c r="B17" i="16"/>
  <c r="O16" i="16"/>
  <c r="M21" i="16"/>
  <c r="K21" i="16"/>
  <c r="I21" i="16"/>
  <c r="B15" i="16"/>
  <c r="M13" i="16"/>
  <c r="L13" i="16"/>
  <c r="K13" i="16"/>
  <c r="J13" i="16"/>
  <c r="I13" i="16"/>
  <c r="H13" i="16"/>
  <c r="G13" i="16"/>
  <c r="F13" i="16"/>
  <c r="B11" i="16"/>
  <c r="O10" i="16"/>
  <c r="C1" i="16"/>
  <c r="F268" i="16"/>
  <c r="F39" i="16"/>
  <c r="F141" i="16"/>
  <c r="AC27" i="16"/>
  <c r="AC317" i="16"/>
  <c r="AC319" i="16"/>
  <c r="AC1" i="16"/>
  <c r="AC143" i="16"/>
  <c r="AC310" i="16"/>
  <c r="AC311" i="16"/>
  <c r="AC318" i="16"/>
  <c r="T1" i="16"/>
  <c r="V1" i="16"/>
  <c r="X1" i="16"/>
  <c r="Z1" i="16"/>
  <c r="AB1" i="16"/>
  <c r="S160" i="16"/>
  <c r="S161" i="16"/>
  <c r="T314" i="16"/>
  <c r="U314" i="16" s="1"/>
  <c r="V314" i="16" s="1"/>
  <c r="W314" i="16" s="1"/>
  <c r="X314" i="16" s="1"/>
  <c r="Y314" i="16" s="1"/>
  <c r="U317" i="16"/>
  <c r="W317" i="16"/>
  <c r="Y317" i="16"/>
  <c r="AA317" i="16"/>
  <c r="W318" i="16"/>
  <c r="Y318" i="16"/>
  <c r="AA318" i="16"/>
  <c r="X319" i="16"/>
  <c r="Z319" i="16"/>
  <c r="AB319" i="16"/>
  <c r="T318" i="16"/>
  <c r="U318" i="16"/>
  <c r="T316" i="16"/>
  <c r="T273" i="16"/>
  <c r="U273" i="16" s="1"/>
  <c r="V273" i="16" s="1"/>
  <c r="W273" i="16" s="1"/>
  <c r="T242" i="16"/>
  <c r="T239" i="16"/>
  <c r="U239" i="16" s="1"/>
  <c r="V239" i="16" s="1"/>
  <c r="W239" i="16" s="1"/>
  <c r="X239" i="16" s="1"/>
  <c r="Y239" i="16" s="1"/>
  <c r="Z239" i="16" s="1"/>
  <c r="AA239" i="16" s="1"/>
  <c r="AB239" i="16" s="1"/>
  <c r="AC239" i="16" s="1"/>
  <c r="T232" i="16"/>
  <c r="U232" i="16" s="1"/>
  <c r="V232" i="16" s="1"/>
  <c r="W232" i="16" s="1"/>
  <c r="X232" i="16" s="1"/>
  <c r="Y232" i="16" s="1"/>
  <c r="Z232" i="16" s="1"/>
  <c r="AA232" i="16" s="1"/>
  <c r="AB232" i="16" s="1"/>
  <c r="AC232" i="16" s="1"/>
  <c r="U1" i="16"/>
  <c r="W1" i="16"/>
  <c r="Y1" i="16"/>
  <c r="AA1" i="16"/>
  <c r="T394" i="16"/>
  <c r="U394" i="16"/>
  <c r="V394" i="16" s="1"/>
  <c r="W394" i="16" s="1"/>
  <c r="X394" i="16" s="1"/>
  <c r="Y394" i="16" s="1"/>
  <c r="Z394" i="16" s="1"/>
  <c r="AA394" i="16" s="1"/>
  <c r="AB394" i="16" s="1"/>
  <c r="AC394" i="16" s="1"/>
  <c r="T367" i="16"/>
  <c r="U367" i="16" s="1"/>
  <c r="V367" i="16" s="1"/>
  <c r="W367" i="16" s="1"/>
  <c r="X367" i="16" s="1"/>
  <c r="Y367" i="16" s="1"/>
  <c r="Z367" i="16" s="1"/>
  <c r="AA367" i="16" s="1"/>
  <c r="AB367" i="16" s="1"/>
  <c r="AC367" i="16" s="1"/>
  <c r="S266" i="16"/>
  <c r="S268" i="16"/>
  <c r="S269" i="16" s="1"/>
  <c r="T322" i="16"/>
  <c r="U322" i="16" s="1"/>
  <c r="V322" i="16" s="1"/>
  <c r="W322" i="16" s="1"/>
  <c r="T317" i="16"/>
  <c r="V317" i="16"/>
  <c r="X317" i="16"/>
  <c r="Z317" i="16"/>
  <c r="AB317" i="16"/>
  <c r="V318" i="16"/>
  <c r="X318" i="16"/>
  <c r="Z318" i="16"/>
  <c r="AB318" i="16"/>
  <c r="W319" i="16"/>
  <c r="Y319" i="16"/>
  <c r="AA319" i="16"/>
  <c r="T319" i="16"/>
  <c r="U319" i="16"/>
  <c r="V319" i="16" s="1"/>
  <c r="T315" i="16"/>
  <c r="U315" i="16" s="1"/>
  <c r="V315" i="16" s="1"/>
  <c r="W315" i="16" s="1"/>
  <c r="X315" i="16" s="1"/>
  <c r="Y315" i="16" s="1"/>
  <c r="Z315" i="16" s="1"/>
  <c r="AA315" i="16" s="1"/>
  <c r="AB315" i="16" s="1"/>
  <c r="AC315" i="16" s="1"/>
  <c r="T276" i="16"/>
  <c r="U276" i="16" s="1"/>
  <c r="T235" i="16"/>
  <c r="U235" i="16"/>
  <c r="V235" i="16" s="1"/>
  <c r="W235" i="16" s="1"/>
  <c r="X235" i="16" s="1"/>
  <c r="Y235" i="16" s="1"/>
  <c r="Z235" i="16" s="1"/>
  <c r="AA235" i="16" s="1"/>
  <c r="AB235" i="16" s="1"/>
  <c r="AC235" i="16" s="1"/>
  <c r="T212" i="16"/>
  <c r="U212" i="16" s="1"/>
  <c r="V212" i="16" s="1"/>
  <c r="W212" i="16" s="1"/>
  <c r="X212" i="16" s="1"/>
  <c r="Y212" i="16" s="1"/>
  <c r="Z212" i="16" s="1"/>
  <c r="AA212" i="16" s="1"/>
  <c r="AB212" i="16" s="1"/>
  <c r="AC212" i="16" s="1"/>
  <c r="T176" i="16"/>
  <c r="U176" i="16" s="1"/>
  <c r="V176" i="16" s="1"/>
  <c r="W176" i="16" s="1"/>
  <c r="X176" i="16" s="1"/>
  <c r="Y176" i="16" s="1"/>
  <c r="Z176" i="16" s="1"/>
  <c r="AA176" i="16" s="1"/>
  <c r="AB176" i="16" s="1"/>
  <c r="AC176" i="16" s="1"/>
  <c r="O12" i="16"/>
  <c r="N13" i="16"/>
  <c r="O194" i="16"/>
  <c r="P194" i="16"/>
  <c r="I56" i="16"/>
  <c r="G337" i="16"/>
  <c r="I337" i="16"/>
  <c r="I118" i="16" s="1"/>
  <c r="K337" i="16"/>
  <c r="N337" i="16"/>
  <c r="F410" i="16"/>
  <c r="H410" i="16"/>
  <c r="J410" i="16"/>
  <c r="F422" i="16"/>
  <c r="F64" i="16" s="1"/>
  <c r="H422" i="16"/>
  <c r="H64" i="16"/>
  <c r="J422" i="16"/>
  <c r="J64" i="16" s="1"/>
  <c r="L422" i="16"/>
  <c r="L64" i="16" s="1"/>
  <c r="F348" i="16"/>
  <c r="F350" i="16" s="1"/>
  <c r="H348" i="16"/>
  <c r="J348" i="16"/>
  <c r="L348" i="16"/>
  <c r="L350" i="16"/>
  <c r="F337" i="16"/>
  <c r="H337" i="16"/>
  <c r="J337" i="16"/>
  <c r="L337" i="16"/>
  <c r="L48" i="16" s="1"/>
  <c r="G56" i="16"/>
  <c r="K56" i="16"/>
  <c r="F331" i="16"/>
  <c r="F48" i="16" s="1"/>
  <c r="F50" i="16" s="1"/>
  <c r="H331" i="16"/>
  <c r="H48" i="16" s="1"/>
  <c r="H50" i="16" s="1"/>
  <c r="J331" i="16"/>
  <c r="J48" i="16"/>
  <c r="J50" i="16" s="1"/>
  <c r="L331" i="16"/>
  <c r="L50" i="16"/>
  <c r="N422" i="16"/>
  <c r="N64" i="16" s="1"/>
  <c r="AB143" i="16"/>
  <c r="AB310" i="16"/>
  <c r="L67" i="16"/>
  <c r="N410" i="16"/>
  <c r="L162" i="16"/>
  <c r="L166" i="16"/>
  <c r="G184" i="16"/>
  <c r="G189" i="16" s="1"/>
  <c r="G190" i="16" s="1"/>
  <c r="G191" i="16" s="1"/>
  <c r="I184" i="16"/>
  <c r="I189" i="16" s="1"/>
  <c r="K184" i="16"/>
  <c r="K187" i="16" s="1"/>
  <c r="N331" i="16"/>
  <c r="N48" i="16" s="1"/>
  <c r="N50" i="16" s="1"/>
  <c r="L87" i="16"/>
  <c r="L89" i="16"/>
  <c r="L92" i="16" s="1"/>
  <c r="L93" i="16"/>
  <c r="M228" i="16"/>
  <c r="L410" i="16"/>
  <c r="M408" i="16"/>
  <c r="T29" i="20"/>
  <c r="G89" i="16"/>
  <c r="G92" i="16"/>
  <c r="G93" i="16" s="1"/>
  <c r="I89" i="16"/>
  <c r="I92" i="16" s="1"/>
  <c r="I93" i="16" s="1"/>
  <c r="K89" i="16"/>
  <c r="K92" i="16"/>
  <c r="K93" i="16" s="1"/>
  <c r="G100" i="16"/>
  <c r="I100" i="16"/>
  <c r="K100" i="16"/>
  <c r="N100" i="16"/>
  <c r="F104" i="16"/>
  <c r="H104" i="16"/>
  <c r="J104" i="16"/>
  <c r="L104" i="16"/>
  <c r="G206" i="16"/>
  <c r="I206" i="16"/>
  <c r="K206" i="16"/>
  <c r="G213" i="16"/>
  <c r="G123" i="16" s="1"/>
  <c r="I213" i="16"/>
  <c r="I123" i="16" s="1"/>
  <c r="K213" i="16"/>
  <c r="K123" i="16"/>
  <c r="N162" i="16"/>
  <c r="N166" i="16" s="1"/>
  <c r="F19" i="16"/>
  <c r="H19" i="16"/>
  <c r="J19" i="16"/>
  <c r="L19" i="16"/>
  <c r="N19" i="16"/>
  <c r="G12" i="16"/>
  <c r="H12" i="16"/>
  <c r="J12" i="16"/>
  <c r="L12" i="16"/>
  <c r="N12" i="16"/>
  <c r="G24" i="16"/>
  <c r="H24" i="16"/>
  <c r="J24" i="16"/>
  <c r="L24" i="16"/>
  <c r="N24" i="16"/>
  <c r="G30" i="16"/>
  <c r="I30" i="16"/>
  <c r="K30" i="16"/>
  <c r="M30" i="16"/>
  <c r="F130" i="16"/>
  <c r="H130" i="16"/>
  <c r="J130" i="16"/>
  <c r="L130" i="16"/>
  <c r="N130" i="16"/>
  <c r="G220" i="16"/>
  <c r="I220" i="16"/>
  <c r="K220" i="16"/>
  <c r="F56" i="16"/>
  <c r="H56" i="16"/>
  <c r="J56" i="16"/>
  <c r="L56" i="16"/>
  <c r="G242" i="16"/>
  <c r="H242" i="16"/>
  <c r="J242" i="16"/>
  <c r="L242" i="16"/>
  <c r="F395" i="16"/>
  <c r="F382" i="16"/>
  <c r="G256" i="16"/>
  <c r="G257" i="16"/>
  <c r="G258" i="16" s="1"/>
  <c r="I256" i="16"/>
  <c r="K256" i="16"/>
  <c r="K257" i="16" s="1"/>
  <c r="K258" i="16" s="1"/>
  <c r="G19" i="16"/>
  <c r="I228" i="16"/>
  <c r="G10" i="16"/>
  <c r="H10" i="16"/>
  <c r="J10" i="16"/>
  <c r="L10" i="16"/>
  <c r="N10" i="16"/>
  <c r="G18" i="16"/>
  <c r="H18" i="16"/>
  <c r="J18" i="16"/>
  <c r="L18" i="16"/>
  <c r="N18" i="16"/>
  <c r="I19" i="16"/>
  <c r="M19" i="16"/>
  <c r="G26" i="16"/>
  <c r="H26" i="16"/>
  <c r="J26" i="16"/>
  <c r="L26" i="16"/>
  <c r="N26" i="16"/>
  <c r="G36" i="16"/>
  <c r="H36" i="16"/>
  <c r="J36" i="16"/>
  <c r="L36" i="16"/>
  <c r="N36" i="16"/>
  <c r="F43" i="16"/>
  <c r="H43" i="16"/>
  <c r="J43" i="16"/>
  <c r="L43" i="16"/>
  <c r="F89" i="16"/>
  <c r="F92" i="16" s="1"/>
  <c r="F93" i="16" s="1"/>
  <c r="H92" i="16"/>
  <c r="H93" i="16"/>
  <c r="J89" i="16"/>
  <c r="J92" i="16" s="1"/>
  <c r="J93" i="16" s="1"/>
  <c r="F100" i="16"/>
  <c r="F105" i="16" s="1"/>
  <c r="H100" i="16"/>
  <c r="H105" i="16" s="1"/>
  <c r="J100" i="16"/>
  <c r="J105" i="16"/>
  <c r="J118" i="16" s="1"/>
  <c r="L100" i="16"/>
  <c r="L105" i="16" s="1"/>
  <c r="G104" i="16"/>
  <c r="G105" i="16" s="1"/>
  <c r="G116" i="16" s="1"/>
  <c r="I104" i="16"/>
  <c r="K104" i="16"/>
  <c r="G130" i="16"/>
  <c r="I130" i="16"/>
  <c r="K130" i="16"/>
  <c r="F184" i="16"/>
  <c r="F187" i="16" s="1"/>
  <c r="H184" i="16"/>
  <c r="H189" i="16"/>
  <c r="J184" i="16"/>
  <c r="J187" i="16" s="1"/>
  <c r="L184" i="16"/>
  <c r="L189" i="16" s="1"/>
  <c r="L190" i="16" s="1"/>
  <c r="F206" i="16"/>
  <c r="H206" i="16"/>
  <c r="J206" i="16"/>
  <c r="L206" i="16"/>
  <c r="N206" i="16"/>
  <c r="F213" i="16"/>
  <c r="F123" i="16"/>
  <c r="H213" i="16"/>
  <c r="H123" i="16" s="1"/>
  <c r="J213" i="16"/>
  <c r="J123" i="16"/>
  <c r="L213" i="16"/>
  <c r="L123" i="16" s="1"/>
  <c r="N213" i="16"/>
  <c r="N123" i="16"/>
  <c r="F220" i="16"/>
  <c r="H220" i="16"/>
  <c r="J220" i="16"/>
  <c r="L220" i="16"/>
  <c r="N220" i="16"/>
  <c r="F227" i="16"/>
  <c r="F44" i="16" s="1"/>
  <c r="H227" i="16"/>
  <c r="H44" i="16"/>
  <c r="J227" i="16"/>
  <c r="L227" i="16"/>
  <c r="L229" i="16" s="1"/>
  <c r="G331" i="16"/>
  <c r="G48" i="16" s="1"/>
  <c r="I331" i="16"/>
  <c r="K331" i="16"/>
  <c r="K48" i="16" s="1"/>
  <c r="K50" i="16" s="1"/>
  <c r="F344" i="16"/>
  <c r="G344" i="16"/>
  <c r="G343" i="16" s="1"/>
  <c r="G345" i="16" s="1"/>
  <c r="G410" i="16"/>
  <c r="I410" i="16"/>
  <c r="K410" i="16"/>
  <c r="G422" i="16"/>
  <c r="G64" i="16" s="1"/>
  <c r="I422" i="16"/>
  <c r="I64" i="16"/>
  <c r="K422" i="16"/>
  <c r="K64" i="16" s="1"/>
  <c r="K19" i="16"/>
  <c r="G228" i="16"/>
  <c r="K228" i="16"/>
  <c r="F368" i="16"/>
  <c r="G368" i="16"/>
  <c r="H368" i="16"/>
  <c r="I368" i="16" s="1"/>
  <c r="J368" i="16" s="1"/>
  <c r="K368" i="16" s="1"/>
  <c r="L368" i="16" s="1"/>
  <c r="M368" i="16" s="1"/>
  <c r="N368" i="16" s="1"/>
  <c r="O368" i="16" s="1"/>
  <c r="P368" i="16" s="1"/>
  <c r="Q368" i="16" s="1"/>
  <c r="R368" i="16" s="1"/>
  <c r="S368" i="16" s="1"/>
  <c r="AA310" i="16"/>
  <c r="AA311" i="16"/>
  <c r="Y310" i="16"/>
  <c r="Y311" i="16"/>
  <c r="W310" i="16"/>
  <c r="W311" i="16"/>
  <c r="U310" i="16"/>
  <c r="U311" i="16" s="1"/>
  <c r="Z310" i="16"/>
  <c r="Z311" i="16"/>
  <c r="X310" i="16"/>
  <c r="X311" i="16" s="1"/>
  <c r="V310" i="16"/>
  <c r="V311" i="16"/>
  <c r="T310" i="16"/>
  <c r="T311" i="16" s="1"/>
  <c r="AA143" i="16"/>
  <c r="Y143" i="16"/>
  <c r="W143" i="16"/>
  <c r="U143" i="16"/>
  <c r="T243" i="16"/>
  <c r="U243" i="16"/>
  <c r="V243" i="16" s="1"/>
  <c r="W243" i="16" s="1"/>
  <c r="X243" i="16" s="1"/>
  <c r="Y243" i="16" s="1"/>
  <c r="Z243" i="16" s="1"/>
  <c r="AA243" i="16" s="1"/>
  <c r="AB243" i="16" s="1"/>
  <c r="AC243" i="16" s="1"/>
  <c r="Z143" i="16"/>
  <c r="X143" i="16"/>
  <c r="V143" i="16"/>
  <c r="T143" i="16"/>
  <c r="H187" i="16"/>
  <c r="J189" i="16"/>
  <c r="N189" i="16"/>
  <c r="N190" i="16" s="1"/>
  <c r="N187" i="16"/>
  <c r="T249" i="16"/>
  <c r="T250" i="16" s="1"/>
  <c r="I10" i="16"/>
  <c r="K10" i="16"/>
  <c r="M10" i="16"/>
  <c r="I12" i="16"/>
  <c r="K12" i="16"/>
  <c r="M12" i="16"/>
  <c r="G16" i="16"/>
  <c r="I16" i="16"/>
  <c r="K16" i="16"/>
  <c r="M16" i="16"/>
  <c r="I18" i="16"/>
  <c r="K18" i="16"/>
  <c r="M18" i="16"/>
  <c r="F21" i="16"/>
  <c r="H21" i="16"/>
  <c r="I143" i="16" s="1"/>
  <c r="J21" i="16"/>
  <c r="L21" i="16"/>
  <c r="N21" i="16"/>
  <c r="O143" i="16" s="1"/>
  <c r="I24" i="16"/>
  <c r="K24" i="16"/>
  <c r="M24" i="16"/>
  <c r="I26" i="16"/>
  <c r="K26" i="16"/>
  <c r="M26" i="16"/>
  <c r="H30" i="16"/>
  <c r="J30" i="16"/>
  <c r="L30" i="16"/>
  <c r="N30" i="16"/>
  <c r="I36" i="16"/>
  <c r="K36" i="16"/>
  <c r="M36" i="16"/>
  <c r="G187" i="16"/>
  <c r="G42" i="16" s="1"/>
  <c r="K189" i="16"/>
  <c r="K190" i="16" s="1"/>
  <c r="F261" i="16"/>
  <c r="H258" i="16"/>
  <c r="L258" i="16"/>
  <c r="L261" i="16" s="1"/>
  <c r="H16" i="16"/>
  <c r="J16" i="16"/>
  <c r="L16" i="16"/>
  <c r="N16" i="16"/>
  <c r="G351" i="16"/>
  <c r="I351" i="16"/>
  <c r="I288" i="16"/>
  <c r="K288" i="16"/>
  <c r="T287" i="16"/>
  <c r="U287" i="16" s="1"/>
  <c r="V287" i="16" s="1"/>
  <c r="W287" i="16"/>
  <c r="X287" i="16" s="1"/>
  <c r="Y287" i="16" s="1"/>
  <c r="Z287" i="16" s="1"/>
  <c r="AA287" i="16" s="1"/>
  <c r="AB287" i="16" s="1"/>
  <c r="AC287" i="16" s="1"/>
  <c r="F269" i="16"/>
  <c r="G115" i="16"/>
  <c r="I115" i="16"/>
  <c r="K115" i="16"/>
  <c r="H140" i="16"/>
  <c r="J140" i="16"/>
  <c r="J39" i="16" s="1"/>
  <c r="L140" i="16"/>
  <c r="L141" i="16" s="1"/>
  <c r="N140" i="16"/>
  <c r="N39" i="16" s="1"/>
  <c r="N141" i="16"/>
  <c r="N142" i="16" s="1"/>
  <c r="G149" i="16"/>
  <c r="G153" i="16" s="1"/>
  <c r="K149" i="16"/>
  <c r="I162" i="16"/>
  <c r="I166" i="16" s="1"/>
  <c r="G227" i="16"/>
  <c r="I227" i="16"/>
  <c r="K227" i="16"/>
  <c r="H228" i="16"/>
  <c r="J228" i="16"/>
  <c r="L228" i="16"/>
  <c r="G236" i="16"/>
  <c r="G239" i="16" s="1"/>
  <c r="I236" i="16"/>
  <c r="I239" i="16" s="1"/>
  <c r="K236" i="16"/>
  <c r="K239" i="16" s="1"/>
  <c r="I242" i="16"/>
  <c r="K242" i="16"/>
  <c r="G252" i="16"/>
  <c r="I252" i="16"/>
  <c r="K252" i="16"/>
  <c r="F288" i="16"/>
  <c r="H288" i="16"/>
  <c r="N288" i="16"/>
  <c r="G269" i="16"/>
  <c r="F115" i="16"/>
  <c r="H115" i="16"/>
  <c r="J115" i="16"/>
  <c r="L115" i="16"/>
  <c r="N115" i="16"/>
  <c r="G140" i="16"/>
  <c r="G141" i="16"/>
  <c r="G142" i="16" s="1"/>
  <c r="I140" i="16"/>
  <c r="I141" i="16"/>
  <c r="K140" i="16"/>
  <c r="K39" i="16" s="1"/>
  <c r="K141" i="16"/>
  <c r="H149" i="16"/>
  <c r="F236" i="16"/>
  <c r="F239" i="16" s="1"/>
  <c r="H236" i="16"/>
  <c r="H239" i="16" s="1"/>
  <c r="J236" i="16"/>
  <c r="J239" i="16" s="1"/>
  <c r="L236" i="16"/>
  <c r="L239" i="16" s="1"/>
  <c r="N236" i="16"/>
  <c r="N239" i="16" s="1"/>
  <c r="F252" i="16"/>
  <c r="H252" i="16"/>
  <c r="J252" i="16"/>
  <c r="L252" i="16"/>
  <c r="N252" i="16"/>
  <c r="G359" i="16"/>
  <c r="I359" i="16"/>
  <c r="K359" i="16"/>
  <c r="G283" i="16"/>
  <c r="I283" i="16"/>
  <c r="K283" i="16"/>
  <c r="T295" i="16"/>
  <c r="U295" i="16" s="1"/>
  <c r="V295" i="16" s="1"/>
  <c r="W295" i="16" s="1"/>
  <c r="X295" i="16" s="1"/>
  <c r="Y295" i="16" s="1"/>
  <c r="Z295" i="16" s="1"/>
  <c r="AA295" i="16" s="1"/>
  <c r="AB295" i="16" s="1"/>
  <c r="AC295" i="16" s="1"/>
  <c r="T298" i="16"/>
  <c r="U298" i="16"/>
  <c r="V298" i="16" s="1"/>
  <c r="W298" i="16" s="1"/>
  <c r="X298" i="16" s="1"/>
  <c r="Y298" i="16" s="1"/>
  <c r="Z298" i="16" s="1"/>
  <c r="AA298" i="16" s="1"/>
  <c r="AB298" i="16" s="1"/>
  <c r="AC298" i="16" s="1"/>
  <c r="T301" i="16"/>
  <c r="U301" i="16" s="1"/>
  <c r="V301" i="16" s="1"/>
  <c r="W301" i="16" s="1"/>
  <c r="X301" i="16" s="1"/>
  <c r="Y301" i="16" s="1"/>
  <c r="Z301" i="16" s="1"/>
  <c r="AA301" i="16" s="1"/>
  <c r="AB301" i="16" s="1"/>
  <c r="AC301" i="16" s="1"/>
  <c r="F307" i="16"/>
  <c r="H307" i="16"/>
  <c r="J307" i="16"/>
  <c r="N307" i="16"/>
  <c r="F427" i="16"/>
  <c r="F429" i="16"/>
  <c r="F430" i="16" s="1"/>
  <c r="H427" i="16"/>
  <c r="H429" i="16"/>
  <c r="H430" i="16" s="1"/>
  <c r="H77" i="16" s="1"/>
  <c r="J427" i="16"/>
  <c r="J429" i="16"/>
  <c r="L427" i="16"/>
  <c r="L429" i="16"/>
  <c r="F359" i="16"/>
  <c r="H359" i="16"/>
  <c r="J359" i="16"/>
  <c r="L359" i="16"/>
  <c r="N359" i="16"/>
  <c r="F283" i="16"/>
  <c r="H283" i="16"/>
  <c r="J283" i="16"/>
  <c r="L283" i="16"/>
  <c r="N283" i="16"/>
  <c r="G307" i="16"/>
  <c r="I307" i="16"/>
  <c r="K307" i="16"/>
  <c r="T306" i="16"/>
  <c r="U306" i="16" s="1"/>
  <c r="V306" i="16"/>
  <c r="W306" i="16" s="1"/>
  <c r="X306" i="16" s="1"/>
  <c r="Y306" i="16" s="1"/>
  <c r="Z306" i="16" s="1"/>
  <c r="AA306" i="16" s="1"/>
  <c r="AB306" i="16" s="1"/>
  <c r="AC306" i="16" s="1"/>
  <c r="G427" i="16"/>
  <c r="G429" i="16" s="1"/>
  <c r="I427" i="16"/>
  <c r="I429" i="16"/>
  <c r="K427" i="16"/>
  <c r="F407" i="16"/>
  <c r="F63" i="16" s="1"/>
  <c r="H407" i="16"/>
  <c r="H63" i="16" s="1"/>
  <c r="J407" i="16"/>
  <c r="J63" i="16" s="1"/>
  <c r="L407" i="16"/>
  <c r="L63" i="16" s="1"/>
  <c r="N407" i="16"/>
  <c r="N63" i="16" s="1"/>
  <c r="F408" i="16"/>
  <c r="F409" i="16"/>
  <c r="H409" i="16"/>
  <c r="H408" i="16" s="1"/>
  <c r="J409" i="16"/>
  <c r="L409" i="16"/>
  <c r="N409" i="16"/>
  <c r="N408" i="16" s="1"/>
  <c r="G441" i="16"/>
  <c r="I441" i="16"/>
  <c r="G446" i="16"/>
  <c r="I446" i="16"/>
  <c r="I68" i="16" s="1"/>
  <c r="K446" i="16"/>
  <c r="F463" i="16"/>
  <c r="H463" i="16"/>
  <c r="J463" i="16"/>
  <c r="J469" i="16" s="1"/>
  <c r="L463" i="16"/>
  <c r="H474" i="16"/>
  <c r="J474" i="16"/>
  <c r="L474" i="16"/>
  <c r="N474" i="16"/>
  <c r="G407" i="16"/>
  <c r="G63" i="16" s="1"/>
  <c r="I407" i="16"/>
  <c r="I63" i="16" s="1"/>
  <c r="K407" i="16"/>
  <c r="K63" i="16" s="1"/>
  <c r="G409" i="16"/>
  <c r="I409" i="16"/>
  <c r="I408" i="16" s="1"/>
  <c r="K409" i="16"/>
  <c r="K408" i="16" s="1"/>
  <c r="F441" i="16"/>
  <c r="H441" i="16"/>
  <c r="H68" i="16" s="1"/>
  <c r="N441" i="16"/>
  <c r="N68" i="16" s="1"/>
  <c r="F446" i="16"/>
  <c r="H446" i="16"/>
  <c r="J446" i="16"/>
  <c r="L446" i="16"/>
  <c r="N446" i="16"/>
  <c r="G463" i="16"/>
  <c r="I463" i="16"/>
  <c r="K463" i="16"/>
  <c r="K469" i="16" s="1"/>
  <c r="K59" i="16" s="1"/>
  <c r="G474" i="16"/>
  <c r="I474" i="16"/>
  <c r="K474" i="16"/>
  <c r="H344" i="16"/>
  <c r="I344" i="16" s="1"/>
  <c r="I343" i="16" s="1"/>
  <c r="I345" i="16" s="1"/>
  <c r="H343" i="16"/>
  <c r="H345" i="16" s="1"/>
  <c r="G261" i="16"/>
  <c r="I257" i="16"/>
  <c r="I258" i="16"/>
  <c r="T393" i="16"/>
  <c r="T256" i="16" s="1"/>
  <c r="S256" i="16"/>
  <c r="S162" i="16"/>
  <c r="S166" i="16" s="1"/>
  <c r="F351" i="16"/>
  <c r="U249" i="16"/>
  <c r="T288" i="16"/>
  <c r="U288" i="16"/>
  <c r="U250" i="16"/>
  <c r="T251" i="16"/>
  <c r="U251" i="16"/>
  <c r="U252" i="16" s="1"/>
  <c r="G50" i="16"/>
  <c r="T20" i="16"/>
  <c r="U20" i="16" s="1"/>
  <c r="V20" i="16" s="1"/>
  <c r="W20" i="16" s="1"/>
  <c r="X20" i="16" s="1"/>
  <c r="Y20" i="16" s="1"/>
  <c r="Z20" i="16" s="1"/>
  <c r="AA20" i="16" s="1"/>
  <c r="AB20" i="16" s="1"/>
  <c r="AC20" i="16" s="1"/>
  <c r="L307" i="16"/>
  <c r="AB311" i="16"/>
  <c r="I105" i="16"/>
  <c r="G395" i="16"/>
  <c r="H395" i="16" s="1"/>
  <c r="M307" i="16"/>
  <c r="I187" i="16"/>
  <c r="L118" i="16"/>
  <c r="F189" i="16"/>
  <c r="F190" i="16" s="1"/>
  <c r="H468" i="16"/>
  <c r="L408" i="16"/>
  <c r="F381" i="16"/>
  <c r="F383" i="16" s="1"/>
  <c r="I469" i="16"/>
  <c r="I59" i="16" s="1"/>
  <c r="H229" i="16"/>
  <c r="K468" i="16"/>
  <c r="M143" i="16"/>
  <c r="N22" i="16"/>
  <c r="O22" i="16"/>
  <c r="F345" i="16"/>
  <c r="H143" i="16"/>
  <c r="T159" i="16"/>
  <c r="N143" i="16"/>
  <c r="F68" i="16"/>
  <c r="F69" i="16" s="1"/>
  <c r="H69" i="16"/>
  <c r="G68" i="16"/>
  <c r="G430" i="16"/>
  <c r="G77" i="16" s="1"/>
  <c r="J430" i="16"/>
  <c r="J77" i="16" s="1"/>
  <c r="F77" i="16"/>
  <c r="K142" i="16"/>
  <c r="G39" i="16"/>
  <c r="I65" i="16"/>
  <c r="J65" i="16"/>
  <c r="K229" i="16"/>
  <c r="K44" i="16"/>
  <c r="L142" i="16"/>
  <c r="L39" i="16"/>
  <c r="H39" i="16"/>
  <c r="T35" i="16"/>
  <c r="U35" i="16" s="1"/>
  <c r="U36" i="16" s="1"/>
  <c r="L191" i="16"/>
  <c r="H153" i="16"/>
  <c r="I149" i="16"/>
  <c r="K42" i="16"/>
  <c r="K153" i="16"/>
  <c r="J149" i="16"/>
  <c r="J153" i="16"/>
  <c r="J40" i="16" s="1"/>
  <c r="F149" i="16"/>
  <c r="F153" i="16" s="1"/>
  <c r="I111" i="16"/>
  <c r="I116" i="16" s="1"/>
  <c r="I22" i="16"/>
  <c r="I430" i="16"/>
  <c r="I77" i="16" s="1"/>
  <c r="L430" i="16"/>
  <c r="T334" i="16"/>
  <c r="T246" i="16"/>
  <c r="U246" i="16" s="1"/>
  <c r="I142" i="16"/>
  <c r="I55" i="16" s="1"/>
  <c r="I39" i="16"/>
  <c r="G65" i="16"/>
  <c r="K65" i="16"/>
  <c r="H65" i="16"/>
  <c r="L65" i="16"/>
  <c r="I44" i="16"/>
  <c r="T190" i="16"/>
  <c r="U190" i="16" s="1"/>
  <c r="V190" i="16" s="1"/>
  <c r="W190" i="16" s="1"/>
  <c r="X190" i="16"/>
  <c r="Y190" i="16" s="1"/>
  <c r="Z190" i="16" s="1"/>
  <c r="AA190" i="16" s="1"/>
  <c r="AB190" i="16" s="1"/>
  <c r="AC190" i="16" s="1"/>
  <c r="K191" i="16"/>
  <c r="K111" i="16"/>
  <c r="H42" i="16"/>
  <c r="H45" i="16" s="1"/>
  <c r="I261" i="16"/>
  <c r="I262" i="16" s="1"/>
  <c r="L193" i="16"/>
  <c r="N371" i="16"/>
  <c r="N427" i="16" s="1"/>
  <c r="N370" i="16"/>
  <c r="N348" i="16" s="1"/>
  <c r="N350" i="16"/>
  <c r="T119" i="16"/>
  <c r="T487" i="16"/>
  <c r="V249" i="16"/>
  <c r="V250" i="16" s="1"/>
  <c r="T252" i="16"/>
  <c r="G382" i="16"/>
  <c r="F65" i="16"/>
  <c r="G111" i="16"/>
  <c r="F111" i="16"/>
  <c r="G468" i="16"/>
  <c r="G469" i="16"/>
  <c r="G59" i="16" s="1"/>
  <c r="M468" i="16"/>
  <c r="M65" i="16"/>
  <c r="N429" i="16"/>
  <c r="F59" i="16"/>
  <c r="T338" i="16"/>
  <c r="U334" i="16"/>
  <c r="T324" i="16"/>
  <c r="T25" i="16"/>
  <c r="U25" i="16" s="1"/>
  <c r="V25" i="16" s="1"/>
  <c r="T32" i="16"/>
  <c r="J344" i="16"/>
  <c r="S104" i="16"/>
  <c r="S105" i="16" s="1"/>
  <c r="S116" i="16" s="1"/>
  <c r="T36" i="16"/>
  <c r="C1" i="14"/>
  <c r="O5" i="25" s="1"/>
  <c r="O6" i="25" s="1"/>
  <c r="N372" i="16"/>
  <c r="O371" i="16"/>
  <c r="O427" i="16" s="1"/>
  <c r="O429" i="16"/>
  <c r="O370" i="16"/>
  <c r="P371" i="16"/>
  <c r="P370" i="16"/>
  <c r="S5" i="25"/>
  <c r="S6" i="25" s="1"/>
  <c r="Q5" i="25"/>
  <c r="Q6" i="25" s="1"/>
  <c r="M5" i="25"/>
  <c r="M6" i="25" s="1"/>
  <c r="K5" i="25"/>
  <c r="K6" i="25" s="1"/>
  <c r="I5" i="25"/>
  <c r="I6" i="25" s="1"/>
  <c r="N5" i="25"/>
  <c r="N6" i="25" s="1"/>
  <c r="F5" i="25"/>
  <c r="F6" i="25" s="1"/>
  <c r="S43" i="16"/>
  <c r="N430" i="16"/>
  <c r="N77" i="16" s="1"/>
  <c r="N351" i="16"/>
  <c r="O348" i="16"/>
  <c r="O350" i="16" s="1"/>
  <c r="W249" i="16"/>
  <c r="N65" i="16"/>
  <c r="N111" i="16"/>
  <c r="O65" i="16"/>
  <c r="O468" i="16"/>
  <c r="O111" i="16"/>
  <c r="M476" i="16"/>
  <c r="P427" i="16"/>
  <c r="P429" i="16" s="1"/>
  <c r="U324" i="16"/>
  <c r="V324" i="16" s="1"/>
  <c r="W324" i="16" s="1"/>
  <c r="X324" i="16" s="1"/>
  <c r="Y324" i="16" s="1"/>
  <c r="Z324" i="16" s="1"/>
  <c r="AA324" i="16" s="1"/>
  <c r="AB324" i="16" s="1"/>
  <c r="AC324" i="16" s="1"/>
  <c r="T23" i="16"/>
  <c r="T24" i="16" s="1"/>
  <c r="A6" i="16"/>
  <c r="V35" i="16"/>
  <c r="V246" i="16"/>
  <c r="W246" i="16" s="1"/>
  <c r="U32" i="16"/>
  <c r="V32" i="16" s="1"/>
  <c r="W32" i="16" s="1"/>
  <c r="X32" i="16" s="1"/>
  <c r="Y32" i="16" s="1"/>
  <c r="Z32" i="16" s="1"/>
  <c r="AA32" i="16" s="1"/>
  <c r="AB32" i="16" s="1"/>
  <c r="AC32" i="16" s="1"/>
  <c r="U338" i="16"/>
  <c r="P372" i="16"/>
  <c r="O372" i="16"/>
  <c r="Q371" i="16"/>
  <c r="Q427" i="16" s="1"/>
  <c r="Q430" i="16" s="1"/>
  <c r="Q77" i="16" s="1"/>
  <c r="Q370" i="16"/>
  <c r="P348" i="16"/>
  <c r="P350" i="16"/>
  <c r="P351" i="16" s="1"/>
  <c r="X249" i="16"/>
  <c r="T336" i="16"/>
  <c r="H5" i="16"/>
  <c r="H6" i="16" s="1"/>
  <c r="J5" i="16"/>
  <c r="J6" i="16" s="1"/>
  <c r="Q429" i="16"/>
  <c r="T147" i="16"/>
  <c r="T305" i="16" s="1"/>
  <c r="T307" i="16" s="1"/>
  <c r="T308" i="16" s="1"/>
  <c r="U26" i="16"/>
  <c r="Q372" i="16"/>
  <c r="R371" i="16"/>
  <c r="R370" i="16"/>
  <c r="Q348" i="16"/>
  <c r="Q350" i="16"/>
  <c r="R427" i="16"/>
  <c r="R429" i="16" s="1"/>
  <c r="X246" i="16"/>
  <c r="R372" i="16"/>
  <c r="S371" i="16"/>
  <c r="S427" i="16" s="1"/>
  <c r="S429" i="16" s="1"/>
  <c r="S370" i="16"/>
  <c r="S348" i="16" s="1"/>
  <c r="Q351" i="16"/>
  <c r="R348" i="16"/>
  <c r="R350" i="16"/>
  <c r="P111" i="16"/>
  <c r="P468" i="16"/>
  <c r="P65" i="16"/>
  <c r="Q65" i="16"/>
  <c r="Q111" i="16"/>
  <c r="Q468" i="16"/>
  <c r="S111" i="16"/>
  <c r="R430" i="16"/>
  <c r="R77" i="16" s="1"/>
  <c r="Y246" i="16"/>
  <c r="Z246" i="16" s="1"/>
  <c r="AA246" i="16" s="1"/>
  <c r="AB246" i="16" s="1"/>
  <c r="AC246" i="16" s="1"/>
  <c r="S372" i="16"/>
  <c r="S430" i="16"/>
  <c r="S65" i="16"/>
  <c r="R351" i="16"/>
  <c r="R468" i="16"/>
  <c r="R111" i="16"/>
  <c r="R65" i="16"/>
  <c r="S123" i="16"/>
  <c r="L77" i="16"/>
  <c r="K441" i="16"/>
  <c r="K68" i="16"/>
  <c r="K69" i="16" s="1"/>
  <c r="J441" i="16"/>
  <c r="J68" i="16" s="1"/>
  <c r="J69" i="16" s="1"/>
  <c r="L441" i="16"/>
  <c r="L68" i="16" s="1"/>
  <c r="L468" i="16"/>
  <c r="L469" i="16" s="1"/>
  <c r="F476" i="16"/>
  <c r="F377" i="16"/>
  <c r="G476" i="16"/>
  <c r="K476" i="16"/>
  <c r="L149" i="16"/>
  <c r="L55" i="16" s="1"/>
  <c r="L153" i="16"/>
  <c r="L40" i="16" s="1"/>
  <c r="L41" i="16" s="1"/>
  <c r="L5" i="16"/>
  <c r="L6" i="16" s="1"/>
  <c r="I32" i="15"/>
  <c r="I33" i="15" s="1"/>
  <c r="G32" i="15"/>
  <c r="G33" i="15" s="1"/>
  <c r="E34" i="15"/>
  <c r="E32" i="15"/>
  <c r="E33" i="15" s="1"/>
  <c r="F32" i="15"/>
  <c r="E35" i="15"/>
  <c r="E37" i="15" s="1"/>
  <c r="F34" i="15" s="1"/>
  <c r="F241" i="2"/>
  <c r="F240" i="2"/>
  <c r="F239" i="2"/>
  <c r="F224" i="2"/>
  <c r="F223" i="2"/>
  <c r="F222" i="2"/>
  <c r="F227" i="2"/>
  <c r="F210" i="2"/>
  <c r="Z53" i="5"/>
  <c r="AA53" i="5"/>
  <c r="V61" i="5" s="1"/>
  <c r="Z54" i="5"/>
  <c r="AA54" i="5"/>
  <c r="Z55" i="5"/>
  <c r="AA55" i="5"/>
  <c r="Z56" i="5"/>
  <c r="AA56" i="5"/>
  <c r="Z57" i="5"/>
  <c r="AA57" i="5"/>
  <c r="Z58" i="5"/>
  <c r="AA58" i="5"/>
  <c r="Z59" i="5"/>
  <c r="AA59" i="5"/>
  <c r="AA52" i="5"/>
  <c r="Z52" i="5"/>
  <c r="F244" i="2"/>
  <c r="O104" i="16"/>
  <c r="O105" i="16" s="1"/>
  <c r="O463" i="16"/>
  <c r="O469" i="16"/>
  <c r="N463" i="16"/>
  <c r="N469" i="16"/>
  <c r="N104" i="16"/>
  <c r="N105" i="16" s="1"/>
  <c r="N118" i="16" s="1"/>
  <c r="Q61" i="5"/>
  <c r="Y61" i="5"/>
  <c r="J208" i="2"/>
  <c r="K208" i="2"/>
  <c r="L208" i="2"/>
  <c r="M208" i="2"/>
  <c r="N208" i="2"/>
  <c r="O208" i="2"/>
  <c r="P208" i="2"/>
  <c r="Q208" i="2"/>
  <c r="R208" i="2"/>
  <c r="S208" i="2"/>
  <c r="T208" i="2"/>
  <c r="U208" i="2"/>
  <c r="V208" i="2"/>
  <c r="W208" i="2"/>
  <c r="X208" i="2"/>
  <c r="Y208" i="2"/>
  <c r="Z208" i="2"/>
  <c r="AA208" i="2"/>
  <c r="AB208" i="2"/>
  <c r="AC208" i="2"/>
  <c r="AD208" i="2"/>
  <c r="AE208" i="2"/>
  <c r="AF208" i="2"/>
  <c r="AG208" i="2"/>
  <c r="AH208" i="2"/>
  <c r="AI208" i="2"/>
  <c r="AJ208" i="2"/>
  <c r="AK208" i="2"/>
  <c r="AL208" i="2"/>
  <c r="AM208" i="2"/>
  <c r="AN208" i="2"/>
  <c r="AO208" i="2"/>
  <c r="AP208" i="2"/>
  <c r="AQ208" i="2"/>
  <c r="AR208" i="2"/>
  <c r="AS208" i="2"/>
  <c r="AT208" i="2"/>
  <c r="AU208" i="2"/>
  <c r="AV208" i="2"/>
  <c r="AW208" i="2"/>
  <c r="AX208" i="2"/>
  <c r="AY208" i="2"/>
  <c r="AZ208" i="2"/>
  <c r="BA208" i="2"/>
  <c r="BB208" i="2"/>
  <c r="BC208" i="2"/>
  <c r="BD208" i="2"/>
  <c r="BE208" i="2"/>
  <c r="BF208" i="2"/>
  <c r="BG208" i="2"/>
  <c r="BH208" i="2"/>
  <c r="I208" i="2"/>
  <c r="F236" i="2"/>
  <c r="F234" i="2"/>
  <c r="F232" i="2"/>
  <c r="F237" i="2"/>
  <c r="F235" i="2"/>
  <c r="F233" i="2"/>
  <c r="F231" i="2"/>
  <c r="F230" i="2"/>
  <c r="F229" i="2"/>
  <c r="F228" i="2"/>
  <c r="F220" i="2"/>
  <c r="F219" i="2"/>
  <c r="F218" i="2"/>
  <c r="F217" i="2"/>
  <c r="F216" i="2"/>
  <c r="F215" i="2"/>
  <c r="F214" i="2"/>
  <c r="F213" i="2"/>
  <c r="F212" i="2"/>
  <c r="F211" i="2"/>
  <c r="O59" i="16"/>
  <c r="O476" i="16"/>
  <c r="O227" i="16"/>
  <c r="O56" i="16"/>
  <c r="O87" i="16"/>
  <c r="O89" i="16" s="1"/>
  <c r="O92" i="16" s="1"/>
  <c r="O5" i="16" s="1"/>
  <c r="O6" i="16" s="1"/>
  <c r="O84" i="16"/>
  <c r="O67" i="16" s="1"/>
  <c r="O69" i="16" s="1"/>
  <c r="T175" i="16"/>
  <c r="N116" i="16"/>
  <c r="N227" i="16"/>
  <c r="N44" i="16" s="1"/>
  <c r="N56" i="16"/>
  <c r="N59" i="16"/>
  <c r="N476" i="16"/>
  <c r="M5" i="16"/>
  <c r="M6" i="16" s="1"/>
  <c r="N84" i="16"/>
  <c r="N228" i="16"/>
  <c r="O228" i="16"/>
  <c r="P104" i="16"/>
  <c r="P105" i="16" s="1"/>
  <c r="P118" i="16" s="1"/>
  <c r="P463" i="16"/>
  <c r="P469" i="16"/>
  <c r="N67" i="16"/>
  <c r="N69" i="16" s="1"/>
  <c r="N229" i="16"/>
  <c r="N87" i="16"/>
  <c r="N89" i="16" s="1"/>
  <c r="N92" i="16"/>
  <c r="N93" i="16" s="1"/>
  <c r="P227" i="16"/>
  <c r="P56" i="16"/>
  <c r="P87" i="16"/>
  <c r="P89" i="16" s="1"/>
  <c r="P92" i="16"/>
  <c r="P84" i="16"/>
  <c r="P67" i="16" s="1"/>
  <c r="P69" i="16" s="1"/>
  <c r="P116" i="16"/>
  <c r="N5" i="16"/>
  <c r="N6" i="16" s="1"/>
  <c r="P44" i="16"/>
  <c r="P45" i="16" s="1"/>
  <c r="P228" i="16"/>
  <c r="Q463" i="16"/>
  <c r="Q469" i="16" s="1"/>
  <c r="Q104" i="16"/>
  <c r="Q105" i="16" s="1"/>
  <c r="Q118" i="16" s="1"/>
  <c r="Q116" i="16"/>
  <c r="Q87" i="16"/>
  <c r="Q89" i="16" s="1"/>
  <c r="Q92" i="16" s="1"/>
  <c r="Q5" i="16" s="1"/>
  <c r="Q6" i="16" s="1"/>
  <c r="Q84" i="16"/>
  <c r="Q67" i="16" s="1"/>
  <c r="Q69" i="16" s="1"/>
  <c r="Q227" i="16"/>
  <c r="Q56" i="16"/>
  <c r="Q228" i="16"/>
  <c r="Q44" i="16"/>
  <c r="R463" i="16"/>
  <c r="R469" i="16" s="1"/>
  <c r="R476" i="16" s="1"/>
  <c r="R104" i="16"/>
  <c r="R105" i="16" s="1"/>
  <c r="S228" i="16"/>
  <c r="T228" i="16" s="1"/>
  <c r="U228" i="16" s="1"/>
  <c r="V228" i="16" s="1"/>
  <c r="W228" i="16" s="1"/>
  <c r="X228" i="16" s="1"/>
  <c r="Y228" i="16" s="1"/>
  <c r="Z228" i="16" s="1"/>
  <c r="AA228" i="16" s="1"/>
  <c r="AB228" i="16" s="1"/>
  <c r="AC228" i="16" s="1"/>
  <c r="R84" i="16"/>
  <c r="R67" i="16" s="1"/>
  <c r="R69" i="16" s="1"/>
  <c r="R59" i="16"/>
  <c r="R227" i="16"/>
  <c r="R56" i="16"/>
  <c r="R87" i="16"/>
  <c r="R89" i="16" s="1"/>
  <c r="R92" i="16"/>
  <c r="R93" i="16" s="1"/>
  <c r="R44" i="16"/>
  <c r="R45" i="16" s="1"/>
  <c r="R229" i="16"/>
  <c r="R228" i="16"/>
  <c r="J111" i="16"/>
  <c r="J116" i="16" s="1"/>
  <c r="H111" i="16"/>
  <c r="G5" i="16"/>
  <c r="G6" i="16" s="1"/>
  <c r="F5" i="16"/>
  <c r="F6" i="16" s="1"/>
  <c r="O26" i="5"/>
  <c r="P26" i="5"/>
  <c r="Q26" i="5"/>
  <c r="R26" i="5"/>
  <c r="T26" i="5"/>
  <c r="U26" i="5"/>
  <c r="V26" i="5"/>
  <c r="W26" i="5"/>
  <c r="X26" i="5"/>
  <c r="Y26" i="5"/>
  <c r="Z26" i="5"/>
  <c r="AA26" i="5"/>
  <c r="AB26" i="5"/>
  <c r="G26" i="5"/>
  <c r="H26" i="5"/>
  <c r="I26" i="5"/>
  <c r="J26" i="5"/>
  <c r="K26" i="5"/>
  <c r="L26" i="5"/>
  <c r="F26" i="5"/>
  <c r="S16" i="5"/>
  <c r="T16" i="5"/>
  <c r="U16" i="5"/>
  <c r="V16" i="5"/>
  <c r="W16" i="5"/>
  <c r="X16" i="5"/>
  <c r="Y16" i="5"/>
  <c r="Z16" i="5"/>
  <c r="AA16" i="5"/>
  <c r="AB16" i="5"/>
  <c r="R16" i="5"/>
  <c r="Q16" i="5"/>
  <c r="P16" i="5"/>
  <c r="O16" i="5"/>
  <c r="L12" i="5"/>
  <c r="L16" i="5" s="1"/>
  <c r="K12" i="5"/>
  <c r="K16" i="5" s="1"/>
  <c r="J12" i="5"/>
  <c r="J16" i="5" s="1"/>
  <c r="I12" i="5"/>
  <c r="I16" i="5" s="1"/>
  <c r="H12" i="5"/>
  <c r="H16" i="5" s="1"/>
  <c r="G12" i="5"/>
  <c r="G16" i="5" s="1"/>
  <c r="F12" i="5"/>
  <c r="F16" i="5" s="1"/>
  <c r="O11" i="4"/>
  <c r="P11" i="4"/>
  <c r="Q11" i="4"/>
  <c r="M11" i="4"/>
  <c r="E14" i="4"/>
  <c r="E15" i="4" s="1"/>
  <c r="F11" i="4"/>
  <c r="G11" i="4"/>
  <c r="H11" i="4"/>
  <c r="I11" i="4"/>
  <c r="J11" i="4"/>
  <c r="K11" i="4"/>
  <c r="L11" i="4"/>
  <c r="E11" i="4"/>
  <c r="AP15" i="4"/>
  <c r="Z15" i="4"/>
  <c r="J15" i="4"/>
  <c r="AX15" i="4"/>
  <c r="AH15" i="4"/>
  <c r="R15" i="4"/>
  <c r="AT15" i="4"/>
  <c r="AL15" i="4"/>
  <c r="AD15" i="4"/>
  <c r="V15" i="4"/>
  <c r="N15" i="4"/>
  <c r="F15" i="4"/>
  <c r="BE15" i="4"/>
  <c r="BG15" i="4"/>
  <c r="BC15" i="4"/>
  <c r="BA15" i="4"/>
  <c r="AY15" i="4"/>
  <c r="AW15" i="4"/>
  <c r="AU15" i="4"/>
  <c r="AS15" i="4"/>
  <c r="AQ15" i="4"/>
  <c r="AO15" i="4"/>
  <c r="AM15" i="4"/>
  <c r="AK15" i="4"/>
  <c r="AI15" i="4"/>
  <c r="AG15" i="4"/>
  <c r="AE15" i="4"/>
  <c r="AC15" i="4"/>
  <c r="AA15" i="4"/>
  <c r="Y15" i="4"/>
  <c r="W15" i="4"/>
  <c r="U15" i="4"/>
  <c r="S15" i="4"/>
  <c r="Q15" i="4"/>
  <c r="O15" i="4"/>
  <c r="M15" i="4"/>
  <c r="K15" i="4"/>
  <c r="I15" i="4"/>
  <c r="G15" i="4"/>
  <c r="AV15" i="4"/>
  <c r="AR15" i="4"/>
  <c r="AN15" i="4"/>
  <c r="AJ15" i="4"/>
  <c r="AF15" i="4"/>
  <c r="AB15" i="4"/>
  <c r="X15" i="4"/>
  <c r="T15" i="4"/>
  <c r="P15" i="4"/>
  <c r="L15" i="4"/>
  <c r="H15" i="4"/>
  <c r="BF15" i="4"/>
  <c r="BD15" i="4"/>
  <c r="BB15" i="4"/>
  <c r="AZ15" i="4"/>
  <c r="BH15" i="4"/>
  <c r="BH153" i="4"/>
  <c r="BG153" i="4"/>
  <c r="BF153" i="4"/>
  <c r="BE153" i="4"/>
  <c r="BD153" i="4"/>
  <c r="BC153" i="4"/>
  <c r="BB153" i="4"/>
  <c r="BA153" i="4"/>
  <c r="AZ153" i="4"/>
  <c r="AY153" i="4"/>
  <c r="AX153" i="4"/>
  <c r="AW153" i="4"/>
  <c r="AV153" i="4"/>
  <c r="AU153" i="4"/>
  <c r="AT153" i="4"/>
  <c r="AS153" i="4"/>
  <c r="AR153" i="4"/>
  <c r="AQ153" i="4"/>
  <c r="AP153" i="4"/>
  <c r="AO153" i="4"/>
  <c r="AN153" i="4"/>
  <c r="AM153" i="4"/>
  <c r="AL153" i="4"/>
  <c r="AK153" i="4"/>
  <c r="AJ153" i="4"/>
  <c r="AI153" i="4"/>
  <c r="AH153" i="4"/>
  <c r="AG153" i="4"/>
  <c r="AF153" i="4"/>
  <c r="AE153" i="4"/>
  <c r="AD153" i="4"/>
  <c r="AC153" i="4"/>
  <c r="AB153" i="4"/>
  <c r="AA153" i="4"/>
  <c r="Z153" i="4"/>
  <c r="Y153" i="4"/>
  <c r="X153" i="4"/>
  <c r="W153" i="4"/>
  <c r="V153" i="4"/>
  <c r="U153" i="4"/>
  <c r="T153" i="4"/>
  <c r="S153" i="4"/>
  <c r="R153" i="4"/>
  <c r="Q153" i="4"/>
  <c r="P153" i="4"/>
  <c r="O153" i="4"/>
  <c r="N153" i="4"/>
  <c r="M153" i="4"/>
  <c r="L153" i="4"/>
  <c r="K153" i="4"/>
  <c r="J153" i="4"/>
  <c r="I153" i="4"/>
  <c r="H153" i="4"/>
  <c r="G153" i="4"/>
  <c r="F153" i="4"/>
  <c r="E153" i="4"/>
  <c r="BH84" i="4"/>
  <c r="BG84" i="4"/>
  <c r="BF84" i="4"/>
  <c r="BE84" i="4"/>
  <c r="BD84" i="4"/>
  <c r="BC84" i="4"/>
  <c r="BB84" i="4"/>
  <c r="BA84" i="4"/>
  <c r="AZ84" i="4"/>
  <c r="AY84" i="4"/>
  <c r="AX84" i="4"/>
  <c r="AW84" i="4"/>
  <c r="AV84" i="4"/>
  <c r="AU84" i="4"/>
  <c r="AT84" i="4"/>
  <c r="AS84" i="4"/>
  <c r="AR84" i="4"/>
  <c r="AQ84" i="4"/>
  <c r="AP84" i="4"/>
  <c r="AO84" i="4"/>
  <c r="AN84" i="4"/>
  <c r="AM84" i="4"/>
  <c r="AL84" i="4"/>
  <c r="AK84" i="4"/>
  <c r="AJ84" i="4"/>
  <c r="AI84" i="4"/>
  <c r="AH84" i="4"/>
  <c r="AG84" i="4"/>
  <c r="AF84" i="4"/>
  <c r="AE84" i="4"/>
  <c r="AD84" i="4"/>
  <c r="AC84" i="4"/>
  <c r="AB84" i="4"/>
  <c r="AA84" i="4"/>
  <c r="Z84" i="4"/>
  <c r="Y84" i="4"/>
  <c r="X84" i="4"/>
  <c r="W84" i="4"/>
  <c r="V84" i="4"/>
  <c r="U84" i="4"/>
  <c r="T84" i="4"/>
  <c r="S84" i="4"/>
  <c r="R84" i="4"/>
  <c r="Q84" i="4"/>
  <c r="P84" i="4"/>
  <c r="O84" i="4"/>
  <c r="N84" i="4"/>
  <c r="M84" i="4"/>
  <c r="L84" i="4"/>
  <c r="K84" i="4"/>
  <c r="J84" i="4"/>
  <c r="I84" i="4"/>
  <c r="H84" i="4"/>
  <c r="G84" i="4"/>
  <c r="F84" i="4"/>
  <c r="E84" i="4"/>
  <c r="R11" i="4"/>
  <c r="S11" i="4"/>
  <c r="T9" i="4"/>
  <c r="T10" i="4"/>
  <c r="U9" i="4"/>
  <c r="V9" i="4"/>
  <c r="W9" i="4" s="1"/>
  <c r="X9" i="4" s="1"/>
  <c r="Y9" i="4" s="1"/>
  <c r="Z9" i="4"/>
  <c r="AA9" i="4" s="1"/>
  <c r="AB9" i="4" s="1"/>
  <c r="AC9" i="4" s="1"/>
  <c r="AD9" i="4" s="1"/>
  <c r="AE9" i="4" s="1"/>
  <c r="AF9" i="4" s="1"/>
  <c r="AG9" i="4" s="1"/>
  <c r="AH9" i="4" s="1"/>
  <c r="AI9" i="4" s="1"/>
  <c r="AJ9" i="4" s="1"/>
  <c r="AK9" i="4" s="1"/>
  <c r="AL9" i="4" s="1"/>
  <c r="AM9" i="4" s="1"/>
  <c r="AN9" i="4" s="1"/>
  <c r="AO9" i="4" s="1"/>
  <c r="AP9" i="4" s="1"/>
  <c r="AQ9" i="4" s="1"/>
  <c r="AR9" i="4" s="1"/>
  <c r="AS9" i="4" s="1"/>
  <c r="AT9" i="4" s="1"/>
  <c r="AU9" i="4" s="1"/>
  <c r="AV9" i="4" s="1"/>
  <c r="AW9" i="4" s="1"/>
  <c r="AX9" i="4" s="1"/>
  <c r="AY9" i="4" s="1"/>
  <c r="AZ9" i="4" s="1"/>
  <c r="BA9" i="4" s="1"/>
  <c r="BB9" i="4" s="1"/>
  <c r="BC9" i="4" s="1"/>
  <c r="BD9" i="4" s="1"/>
  <c r="BE9" i="4" s="1"/>
  <c r="BF9" i="4" s="1"/>
  <c r="BG9" i="4" s="1"/>
  <c r="BH9" i="4" s="1"/>
  <c r="BI9" i="4" s="1"/>
  <c r="BJ9" i="4" s="1"/>
  <c r="BK9" i="4" s="1"/>
  <c r="BL9" i="4" s="1"/>
  <c r="BM9" i="4" s="1"/>
  <c r="BN9" i="4" s="1"/>
  <c r="BO9" i="4" s="1"/>
  <c r="T17" i="25"/>
  <c r="T18" i="25" s="1"/>
  <c r="T15" i="16"/>
  <c r="T17" i="16"/>
  <c r="U17" i="25"/>
  <c r="T183" i="16"/>
  <c r="T178" i="16"/>
  <c r="U17" i="16"/>
  <c r="T18" i="16"/>
  <c r="T19" i="16"/>
  <c r="V17" i="16"/>
  <c r="U18" i="16"/>
  <c r="T268" i="16"/>
  <c r="U268" i="16" s="1"/>
  <c r="V268" i="16" s="1"/>
  <c r="W268" i="16" s="1"/>
  <c r="X268" i="16" s="1"/>
  <c r="Y268" i="16" s="1"/>
  <c r="Z268" i="16" s="1"/>
  <c r="AA268" i="16" s="1"/>
  <c r="AB268" i="16" s="1"/>
  <c r="AC268" i="16" s="1"/>
  <c r="T410" i="16"/>
  <c r="T209" i="16" s="1"/>
  <c r="R5" i="16"/>
  <c r="R6" i="16"/>
  <c r="S39" i="16"/>
  <c r="S48" i="16"/>
  <c r="S50" i="16"/>
  <c r="S118" i="16"/>
  <c r="S55" i="16"/>
  <c r="S64" i="16"/>
  <c r="S77" i="16"/>
  <c r="T413" i="16"/>
  <c r="T211" i="16" s="1"/>
  <c r="S63" i="16"/>
  <c r="S40" i="16"/>
  <c r="S41" i="16"/>
  <c r="T210" i="16"/>
  <c r="S68" i="16"/>
  <c r="S56" i="16"/>
  <c r="S57" i="16" s="1"/>
  <c r="S59" i="16"/>
  <c r="S42" i="16"/>
  <c r="S44" i="16"/>
  <c r="S45" i="16"/>
  <c r="S47" i="16"/>
  <c r="S52" i="16" s="1"/>
  <c r="S67" i="16"/>
  <c r="S69" i="16"/>
  <c r="T27" i="16"/>
  <c r="U27" i="16"/>
  <c r="V27" i="16"/>
  <c r="W27" i="16"/>
  <c r="X27" i="16"/>
  <c r="Y27" i="16"/>
  <c r="Z27" i="16"/>
  <c r="AA27" i="16"/>
  <c r="AB27" i="16"/>
  <c r="S5" i="16"/>
  <c r="S6" i="16" s="1"/>
  <c r="V26" i="16" l="1"/>
  <c r="W25" i="16"/>
  <c r="V252" i="25"/>
  <c r="V252" i="16"/>
  <c r="T9" i="16"/>
  <c r="U23" i="16"/>
  <c r="U320" i="16"/>
  <c r="V241" i="25"/>
  <c r="V26" i="25"/>
  <c r="T119" i="25"/>
  <c r="U364" i="25"/>
  <c r="T179" i="16"/>
  <c r="T181" i="16"/>
  <c r="V320" i="16"/>
  <c r="T26" i="16"/>
  <c r="T320" i="16"/>
  <c r="T321" i="16" s="1"/>
  <c r="G5" i="25"/>
  <c r="G6" i="25" s="1"/>
  <c r="U30" i="16"/>
  <c r="V30" i="16" s="1"/>
  <c r="T256" i="25"/>
  <c r="U365" i="25"/>
  <c r="V365" i="25" s="1"/>
  <c r="T213" i="16"/>
  <c r="T368" i="25"/>
  <c r="T31" i="16"/>
  <c r="T33" i="16" s="1"/>
  <c r="T180" i="16"/>
  <c r="T177" i="16"/>
  <c r="W250" i="16"/>
  <c r="X250" i="16" s="1"/>
  <c r="X252" i="16" s="1"/>
  <c r="V251" i="16"/>
  <c r="W251" i="16" s="1"/>
  <c r="X251" i="16" s="1"/>
  <c r="U393" i="25"/>
  <c r="S53" i="16"/>
  <c r="S131" i="16"/>
  <c r="S58" i="16"/>
  <c r="U18" i="25"/>
  <c r="V17" i="25"/>
  <c r="P93" i="16"/>
  <c r="P5" i="16"/>
  <c r="P6" i="16" s="1"/>
  <c r="P59" i="16"/>
  <c r="P476" i="16"/>
  <c r="K261" i="16"/>
  <c r="K262" i="16" s="1"/>
  <c r="L69" i="16"/>
  <c r="R118" i="16"/>
  <c r="R116" i="16"/>
  <c r="Q93" i="16"/>
  <c r="L57" i="16"/>
  <c r="L58" i="16"/>
  <c r="S350" i="16"/>
  <c r="J59" i="16"/>
  <c r="J476" i="16"/>
  <c r="Z314" i="16"/>
  <c r="U61" i="5"/>
  <c r="E38" i="15"/>
  <c r="L59" i="16"/>
  <c r="L476" i="16"/>
  <c r="H116" i="16"/>
  <c r="V18" i="16"/>
  <c r="W17" i="16"/>
  <c r="T173" i="16"/>
  <c r="T16" i="16"/>
  <c r="T21" i="16"/>
  <c r="T22" i="16" s="1"/>
  <c r="T15" i="25"/>
  <c r="U10" i="4"/>
  <c r="T11" i="4"/>
  <c r="Q476" i="16"/>
  <c r="Q59" i="16"/>
  <c r="O93" i="16"/>
  <c r="O44" i="16"/>
  <c r="O229" i="16"/>
  <c r="O118" i="16"/>
  <c r="O116" i="16"/>
  <c r="S61" i="5"/>
  <c r="P61" i="5"/>
  <c r="F33" i="15"/>
  <c r="F35" i="15" s="1"/>
  <c r="I395" i="16"/>
  <c r="H381" i="16"/>
  <c r="H383" i="16" s="1"/>
  <c r="H382" i="16"/>
  <c r="F118" i="16"/>
  <c r="F116" i="16"/>
  <c r="I190" i="16"/>
  <c r="I191" i="16"/>
  <c r="X322" i="16"/>
  <c r="W320" i="16"/>
  <c r="W35" i="16"/>
  <c r="V36" i="16"/>
  <c r="I57" i="16"/>
  <c r="I58" i="16"/>
  <c r="J41" i="16"/>
  <c r="G45" i="16"/>
  <c r="J22" i="16"/>
  <c r="J143" i="16"/>
  <c r="K143" i="16"/>
  <c r="J191" i="16"/>
  <c r="J190" i="16"/>
  <c r="H190" i="16"/>
  <c r="H191" i="16"/>
  <c r="G60" i="16"/>
  <c r="G193" i="16"/>
  <c r="H350" i="16"/>
  <c r="H351" i="16"/>
  <c r="H75" i="16" s="1"/>
  <c r="H78" i="16" s="1"/>
  <c r="H80" i="16" s="1"/>
  <c r="T241" i="16"/>
  <c r="U242" i="16"/>
  <c r="V242" i="16" s="1"/>
  <c r="W242" i="16" s="1"/>
  <c r="X242" i="16" s="1"/>
  <c r="Y242" i="16" s="1"/>
  <c r="Z242" i="16" s="1"/>
  <c r="AA242" i="16" s="1"/>
  <c r="AB242" i="16" s="1"/>
  <c r="AC242" i="16" s="1"/>
  <c r="I69" i="16"/>
  <c r="H268" i="16"/>
  <c r="H269" i="16"/>
  <c r="Y275" i="16"/>
  <c r="U335" i="16"/>
  <c r="V335" i="16" s="1"/>
  <c r="W335" i="16" s="1"/>
  <c r="X335" i="16" s="1"/>
  <c r="Y335" i="16" s="1"/>
  <c r="Z335" i="16" s="1"/>
  <c r="AA335" i="16" s="1"/>
  <c r="AB335" i="16" s="1"/>
  <c r="AC335" i="16" s="1"/>
  <c r="T337" i="16"/>
  <c r="J268" i="16"/>
  <c r="J269" i="16"/>
  <c r="K161" i="16"/>
  <c r="K162" i="16" s="1"/>
  <c r="M190" i="16"/>
  <c r="M191" i="16" s="1"/>
  <c r="P229" i="16"/>
  <c r="T61" i="5"/>
  <c r="W61" i="5"/>
  <c r="X61" i="5"/>
  <c r="P430" i="16"/>
  <c r="P77" i="16" s="1"/>
  <c r="O430" i="16"/>
  <c r="O77" i="16" s="1"/>
  <c r="K344" i="16"/>
  <c r="J343" i="16"/>
  <c r="J345" i="16" s="1"/>
  <c r="G381" i="16"/>
  <c r="G383" i="16" s="1"/>
  <c r="F385" i="16"/>
  <c r="F386" i="16" s="1"/>
  <c r="F62" i="16" s="1"/>
  <c r="F66" i="16" s="1"/>
  <c r="F70" i="16" s="1"/>
  <c r="G118" i="16"/>
  <c r="U393" i="16"/>
  <c r="K429" i="16"/>
  <c r="K430" i="16" s="1"/>
  <c r="K77" i="16" s="1"/>
  <c r="I269" i="16"/>
  <c r="H261" i="16"/>
  <c r="H262" i="16" s="1"/>
  <c r="L187" i="16"/>
  <c r="L42" i="16" s="1"/>
  <c r="K105" i="16"/>
  <c r="U316" i="16"/>
  <c r="V316" i="16" s="1"/>
  <c r="L269" i="16"/>
  <c r="J257" i="16"/>
  <c r="J258" i="16"/>
  <c r="AA272" i="16"/>
  <c r="V276" i="16"/>
  <c r="W276" i="16" s="1"/>
  <c r="X276" i="16" s="1"/>
  <c r="P161" i="16"/>
  <c r="P162" i="16" s="1"/>
  <c r="P408" i="16"/>
  <c r="M67" i="16"/>
  <c r="M69" i="16" s="1"/>
  <c r="M229" i="16"/>
  <c r="S229" i="16"/>
  <c r="T229" i="16" s="1"/>
  <c r="Q229" i="16"/>
  <c r="R61" i="5"/>
  <c r="Y249" i="16"/>
  <c r="G194" i="16"/>
  <c r="G54" i="16" s="1"/>
  <c r="F191" i="16"/>
  <c r="N42" i="16"/>
  <c r="N45" i="16" s="1"/>
  <c r="K193" i="16"/>
  <c r="K194" i="16"/>
  <c r="I229" i="16"/>
  <c r="L262" i="16"/>
  <c r="I42" i="16"/>
  <c r="I45" i="16" s="1"/>
  <c r="S257" i="16"/>
  <c r="S258" i="16"/>
  <c r="H118" i="16"/>
  <c r="G22" i="16"/>
  <c r="G143" i="16"/>
  <c r="J42" i="16"/>
  <c r="J45" i="16" s="1"/>
  <c r="F42" i="16"/>
  <c r="F45" i="16" s="1"/>
  <c r="G262" i="16"/>
  <c r="L351" i="16"/>
  <c r="X273" i="16"/>
  <c r="Y273" i="16" s="1"/>
  <c r="Z273" i="16" s="1"/>
  <c r="Q266" i="16"/>
  <c r="T364" i="16"/>
  <c r="U365" i="16" s="1"/>
  <c r="W25" i="20"/>
  <c r="R162" i="16"/>
  <c r="R166" i="16" s="1"/>
  <c r="Q48" i="16"/>
  <c r="Q50" i="16" s="1"/>
  <c r="R191" i="16"/>
  <c r="R190" i="16"/>
  <c r="R142" i="16"/>
  <c r="R39" i="16"/>
  <c r="R141" i="16"/>
  <c r="S143" i="16"/>
  <c r="R143" i="16"/>
  <c r="S22" i="16"/>
  <c r="R22" i="16"/>
  <c r="K22" i="16"/>
  <c r="K45" i="16"/>
  <c r="L194" i="16"/>
  <c r="G229" i="16"/>
  <c r="G44" i="16"/>
  <c r="J141" i="16"/>
  <c r="J142" i="16" s="1"/>
  <c r="J55" i="16" s="1"/>
  <c r="L22" i="16"/>
  <c r="M22" i="16"/>
  <c r="L143" i="16"/>
  <c r="N191" i="16"/>
  <c r="J44" i="16"/>
  <c r="J229" i="16"/>
  <c r="H161" i="16"/>
  <c r="H162" i="16" s="1"/>
  <c r="H166" i="16" s="1"/>
  <c r="H40" i="16" s="1"/>
  <c r="H41" i="16" s="1"/>
  <c r="H47" i="16" s="1"/>
  <c r="H52" i="16" s="1"/>
  <c r="G162" i="16"/>
  <c r="Q193" i="16"/>
  <c r="Q194" i="16" s="1"/>
  <c r="Q160" i="16"/>
  <c r="T362" i="16"/>
  <c r="P29" i="20"/>
  <c r="Q23" i="20"/>
  <c r="Q26" i="20" s="1"/>
  <c r="Q25" i="20"/>
  <c r="R26" i="20"/>
  <c r="R29" i="20" s="1"/>
  <c r="R262" i="16"/>
  <c r="R261" i="16"/>
  <c r="Q258" i="16"/>
  <c r="M118" i="16"/>
  <c r="Q42" i="16"/>
  <c r="Q45" i="16" s="1"/>
  <c r="Q141" i="16"/>
  <c r="Q142" i="16" s="1"/>
  <c r="Q39" i="16"/>
  <c r="U29" i="16"/>
  <c r="U336" i="16" s="1"/>
  <c r="T439" i="16"/>
  <c r="T409" i="16"/>
  <c r="T412" i="16" s="1"/>
  <c r="T440" i="16"/>
  <c r="T437" i="16"/>
  <c r="Q22" i="16"/>
  <c r="Q143" i="16"/>
  <c r="O351" i="16"/>
  <c r="L5" i="25"/>
  <c r="L6" i="25" s="1"/>
  <c r="A6" i="25"/>
  <c r="V334" i="16"/>
  <c r="G408" i="16"/>
  <c r="H469" i="16"/>
  <c r="H141" i="16"/>
  <c r="H142" i="16" s="1"/>
  <c r="H55" i="16" s="1"/>
  <c r="H22" i="16"/>
  <c r="I48" i="16"/>
  <c r="I50" i="16" s="1"/>
  <c r="L44" i="16"/>
  <c r="J350" i="16"/>
  <c r="J351" i="16" s="1"/>
  <c r="G69" i="16"/>
  <c r="N258" i="16"/>
  <c r="L288" i="16"/>
  <c r="L60" i="16" s="1"/>
  <c r="K269" i="16"/>
  <c r="K60" i="16" s="1"/>
  <c r="G320" i="16"/>
  <c r="O161" i="16"/>
  <c r="O162" i="16" s="1"/>
  <c r="O166" i="16" s="1"/>
  <c r="O40" i="16" s="1"/>
  <c r="O41" i="16" s="1"/>
  <c r="O261" i="16"/>
  <c r="O262" i="16"/>
  <c r="M430" i="16"/>
  <c r="M429" i="16"/>
  <c r="M268" i="16"/>
  <c r="M269" i="16"/>
  <c r="M258" i="16"/>
  <c r="M257" i="16"/>
  <c r="P257" i="16"/>
  <c r="P258" i="16" s="1"/>
  <c r="R5" i="25"/>
  <c r="R6" i="25" s="1"/>
  <c r="J5" i="25"/>
  <c r="J6" i="25" s="1"/>
  <c r="P5" i="25"/>
  <c r="P6" i="25" s="1"/>
  <c r="H5" i="25"/>
  <c r="H6" i="25" s="1"/>
  <c r="K5" i="16"/>
  <c r="K6" i="16" s="1"/>
  <c r="I5" i="16"/>
  <c r="I6" i="16" s="1"/>
  <c r="J408" i="16"/>
  <c r="F142" i="16"/>
  <c r="F161" i="16"/>
  <c r="F162" i="16" s="1"/>
  <c r="F166" i="16" s="1"/>
  <c r="F40" i="16" s="1"/>
  <c r="F41" i="16" s="1"/>
  <c r="F47" i="16" s="1"/>
  <c r="F52" i="16" s="1"/>
  <c r="F262" i="16"/>
  <c r="O26" i="20"/>
  <c r="O29" i="20" s="1"/>
  <c r="U26" i="20"/>
  <c r="U29" i="20" s="1"/>
  <c r="V23" i="20"/>
  <c r="O268" i="16"/>
  <c r="O269" i="16" s="1"/>
  <c r="O60" i="16" s="1"/>
  <c r="V35" i="25"/>
  <c r="N268" i="16"/>
  <c r="N269" i="16" s="1"/>
  <c r="P26" i="20"/>
  <c r="M351" i="16"/>
  <c r="M162" i="16"/>
  <c r="M166" i="16" s="1"/>
  <c r="M40" i="16" s="1"/>
  <c r="M41" i="16" s="1"/>
  <c r="M47" i="16" s="1"/>
  <c r="M52" i="16" s="1"/>
  <c r="Q161" i="16"/>
  <c r="Q288" i="16"/>
  <c r="W26" i="25"/>
  <c r="X25" i="25"/>
  <c r="BK15" i="4"/>
  <c r="F59" i="25"/>
  <c r="F476" i="25"/>
  <c r="I320" i="25"/>
  <c r="H321" i="25"/>
  <c r="O142" i="16"/>
  <c r="R288" i="16"/>
  <c r="O8" i="20"/>
  <c r="O10" i="20" s="1"/>
  <c r="O11" i="20" s="1"/>
  <c r="S57" i="25"/>
  <c r="S58" i="25"/>
  <c r="N476" i="25"/>
  <c r="L378" i="27"/>
  <c r="M374" i="27"/>
  <c r="K341" i="27"/>
  <c r="K319" i="27"/>
  <c r="L340" i="27"/>
  <c r="F118" i="25"/>
  <c r="F48" i="25"/>
  <c r="F50" i="25" s="1"/>
  <c r="K118" i="25"/>
  <c r="K116" i="25"/>
  <c r="W250" i="25"/>
  <c r="F385" i="25"/>
  <c r="F386" i="25" s="1"/>
  <c r="F62" i="25" s="1"/>
  <c r="F66" i="25" s="1"/>
  <c r="F70" i="25" s="1"/>
  <c r="J341" i="27"/>
  <c r="J319" i="27"/>
  <c r="N40" i="25"/>
  <c r="N41" i="25" s="1"/>
  <c r="N47" i="25" s="1"/>
  <c r="N52" i="25" s="1"/>
  <c r="R360" i="27"/>
  <c r="S353" i="27"/>
  <c r="S360" i="27" s="1"/>
  <c r="Z334" i="25"/>
  <c r="T43" i="25"/>
  <c r="U322" i="25"/>
  <c r="U320" i="25"/>
  <c r="X314" i="25"/>
  <c r="M476" i="25"/>
  <c r="M59" i="25"/>
  <c r="P239" i="25"/>
  <c r="P42" i="25"/>
  <c r="P45" i="25" s="1"/>
  <c r="H239" i="25"/>
  <c r="H42" i="25"/>
  <c r="H45" i="25" s="1"/>
  <c r="H395" i="25"/>
  <c r="G381" i="25"/>
  <c r="G383" i="25" s="1"/>
  <c r="U319" i="25"/>
  <c r="T321" i="25"/>
  <c r="T323" i="25" s="1"/>
  <c r="S191" i="16"/>
  <c r="J58" i="25"/>
  <c r="J57" i="25"/>
  <c r="P190" i="25"/>
  <c r="P191" i="25" s="1"/>
  <c r="M257" i="25"/>
  <c r="M258" i="25" s="1"/>
  <c r="O268" i="25"/>
  <c r="O269" i="25" s="1"/>
  <c r="Q194" i="25"/>
  <c r="Q54" i="25" s="1"/>
  <c r="M55" i="25"/>
  <c r="P59" i="25"/>
  <c r="Q408" i="25"/>
  <c r="S476" i="25"/>
  <c r="S59" i="25"/>
  <c r="R476" i="25"/>
  <c r="R59" i="25"/>
  <c r="L476" i="25"/>
  <c r="L59" i="25"/>
  <c r="L429" i="25"/>
  <c r="L430" i="25" s="1"/>
  <c r="L77" i="25" s="1"/>
  <c r="Q141" i="25"/>
  <c r="Q142" i="25"/>
  <c r="Q55" i="25" s="1"/>
  <c r="Q39" i="25"/>
  <c r="Q41" i="25" s="1"/>
  <c r="Q47" i="25" s="1"/>
  <c r="K55" i="25"/>
  <c r="T31" i="25"/>
  <c r="T33" i="25" s="1"/>
  <c r="U30" i="25"/>
  <c r="T29" i="25"/>
  <c r="T178" i="25" s="1"/>
  <c r="H118" i="25"/>
  <c r="K69" i="25"/>
  <c r="R69" i="25"/>
  <c r="H67" i="25"/>
  <c r="H69" i="25" s="1"/>
  <c r="I229" i="25"/>
  <c r="F350" i="25"/>
  <c r="F351" i="25"/>
  <c r="H257" i="25"/>
  <c r="H258" i="25" s="1"/>
  <c r="K257" i="25"/>
  <c r="K258" i="25"/>
  <c r="L268" i="25"/>
  <c r="L269" i="25"/>
  <c r="L60" i="25" s="1"/>
  <c r="K45" i="25"/>
  <c r="K47" i="25" s="1"/>
  <c r="K52" i="25" s="1"/>
  <c r="S42" i="25"/>
  <c r="S45" i="25" s="1"/>
  <c r="S47" i="25" s="1"/>
  <c r="S52" i="25" s="1"/>
  <c r="O45" i="25"/>
  <c r="J476" i="25"/>
  <c r="J59" i="25"/>
  <c r="G343" i="25"/>
  <c r="G345" i="25" s="1"/>
  <c r="H344" i="25"/>
  <c r="I189" i="25"/>
  <c r="I187" i="25"/>
  <c r="I42" i="25" s="1"/>
  <c r="I45" i="25" s="1"/>
  <c r="I47" i="25" s="1"/>
  <c r="F141" i="25"/>
  <c r="F142" i="25"/>
  <c r="F55" i="25" s="1"/>
  <c r="T287" i="25"/>
  <c r="S288" i="25"/>
  <c r="S60" i="25" s="1"/>
  <c r="I268" i="25"/>
  <c r="I269" i="25" s="1"/>
  <c r="N257" i="25"/>
  <c r="N258" i="25"/>
  <c r="R257" i="25"/>
  <c r="R258" i="25"/>
  <c r="P268" i="25"/>
  <c r="P269" i="25"/>
  <c r="F268" i="25"/>
  <c r="F269" i="25"/>
  <c r="N268" i="25"/>
  <c r="N269" i="25"/>
  <c r="V276" i="25"/>
  <c r="W275" i="25"/>
  <c r="T348" i="25"/>
  <c r="T370" i="25"/>
  <c r="T427" i="25"/>
  <c r="M306" i="25"/>
  <c r="M307" i="25"/>
  <c r="Y249" i="25"/>
  <c r="W251" i="25"/>
  <c r="X251" i="25" s="1"/>
  <c r="M194" i="25"/>
  <c r="F40" i="25"/>
  <c r="F41" i="25" s="1"/>
  <c r="F47" i="25" s="1"/>
  <c r="F52" i="25" s="1"/>
  <c r="R40" i="25"/>
  <c r="R41" i="25" s="1"/>
  <c r="R47" i="25" s="1"/>
  <c r="M187" i="25"/>
  <c r="M42" i="25" s="1"/>
  <c r="M45" i="25" s="1"/>
  <c r="M47" i="25" s="1"/>
  <c r="M52" i="25" s="1"/>
  <c r="O476" i="25"/>
  <c r="O59" i="25"/>
  <c r="G476" i="25"/>
  <c r="G59" i="25"/>
  <c r="H469" i="25"/>
  <c r="P429" i="25"/>
  <c r="P430" i="25" s="1"/>
  <c r="P77" i="25" s="1"/>
  <c r="H429" i="25"/>
  <c r="H430" i="25"/>
  <c r="H77" i="25" s="1"/>
  <c r="L239" i="25"/>
  <c r="L42" i="25"/>
  <c r="L45" i="25" s="1"/>
  <c r="T24" i="25"/>
  <c r="U23" i="25"/>
  <c r="S22" i="25"/>
  <c r="S143" i="25"/>
  <c r="O190" i="25"/>
  <c r="O191" i="25"/>
  <c r="H162" i="25"/>
  <c r="H161" i="25"/>
  <c r="F257" i="25"/>
  <c r="F258" i="25" s="1"/>
  <c r="I48" i="25"/>
  <c r="I50" i="25" s="1"/>
  <c r="I118" i="25"/>
  <c r="Q48" i="25"/>
  <c r="Q50" i="25" s="1"/>
  <c r="Q118" i="25"/>
  <c r="R48" i="25"/>
  <c r="R50" i="25" s="1"/>
  <c r="L143" i="25"/>
  <c r="J268" i="25"/>
  <c r="J269" i="25"/>
  <c r="F341" i="16"/>
  <c r="F51" i="16" s="1"/>
  <c r="F341" i="25"/>
  <c r="F51" i="25" s="1"/>
  <c r="K22" i="25"/>
  <c r="K143" i="25"/>
  <c r="G105" i="25"/>
  <c r="J351" i="25"/>
  <c r="R351" i="25"/>
  <c r="G161" i="25"/>
  <c r="G162" i="25" s="1"/>
  <c r="O161" i="25"/>
  <c r="O162" i="25"/>
  <c r="K288" i="25"/>
  <c r="M288" i="25"/>
  <c r="Q268" i="25"/>
  <c r="Q269" i="25" s="1"/>
  <c r="J13" i="25"/>
  <c r="J12" i="25"/>
  <c r="K12" i="25"/>
  <c r="N13" i="25"/>
  <c r="N12" i="25"/>
  <c r="R13" i="25"/>
  <c r="S12" i="25"/>
  <c r="I16" i="25"/>
  <c r="H21" i="25"/>
  <c r="H19" i="25"/>
  <c r="Q16" i="25"/>
  <c r="P21" i="25"/>
  <c r="K18" i="25"/>
  <c r="J19" i="25"/>
  <c r="N18" i="25"/>
  <c r="N19" i="25"/>
  <c r="M26" i="25"/>
  <c r="L26" i="25"/>
  <c r="R93" i="27"/>
  <c r="R95" i="27" s="1"/>
  <c r="R97" i="27"/>
  <c r="R111" i="27" s="1"/>
  <c r="R86" i="27"/>
  <c r="F86" i="27"/>
  <c r="F97" i="27"/>
  <c r="F111" i="27" s="1"/>
  <c r="H351" i="25"/>
  <c r="P351" i="25"/>
  <c r="P162" i="25"/>
  <c r="P166" i="25" s="1"/>
  <c r="P40" i="25" s="1"/>
  <c r="P41" i="25" s="1"/>
  <c r="P47" i="25" s="1"/>
  <c r="P52" i="25" s="1"/>
  <c r="J257" i="25"/>
  <c r="J258" i="25" s="1"/>
  <c r="R269" i="25"/>
  <c r="I258" i="25"/>
  <c r="K268" i="25"/>
  <c r="K269" i="25" s="1"/>
  <c r="X272" i="25"/>
  <c r="W273" i="25"/>
  <c r="K48" i="25"/>
  <c r="K50" i="25" s="1"/>
  <c r="S48" i="25"/>
  <c r="S50" i="25" s="1"/>
  <c r="I475" i="25"/>
  <c r="I476" i="25" s="1"/>
  <c r="I475" i="16"/>
  <c r="I476" i="16" s="1"/>
  <c r="I439" i="27"/>
  <c r="M110" i="16"/>
  <c r="M111" i="16" s="1"/>
  <c r="M116" i="16" s="1"/>
  <c r="M85" i="27"/>
  <c r="M93" i="27" s="1"/>
  <c r="M95" i="27" s="1"/>
  <c r="M110" i="25"/>
  <c r="M111" i="25" s="1"/>
  <c r="M116" i="25" s="1"/>
  <c r="H200" i="27"/>
  <c r="H397" i="16"/>
  <c r="H397" i="25"/>
  <c r="H400" i="25" s="1"/>
  <c r="H400" i="16"/>
  <c r="O97" i="27"/>
  <c r="O111" i="27" s="1"/>
  <c r="O86" i="27"/>
  <c r="M97" i="27"/>
  <c r="M111" i="27" s="1"/>
  <c r="M86" i="27"/>
  <c r="Q93" i="27"/>
  <c r="Q95" i="27" s="1"/>
  <c r="I200" i="27"/>
  <c r="I397" i="25"/>
  <c r="I400" i="25" s="1"/>
  <c r="I400" i="16"/>
  <c r="I397" i="16"/>
  <c r="L200" i="27"/>
  <c r="L397" i="25"/>
  <c r="L400" i="25" s="1"/>
  <c r="L400" i="16"/>
  <c r="F448" i="25"/>
  <c r="F450" i="25" s="1"/>
  <c r="G404" i="27"/>
  <c r="I152" i="16"/>
  <c r="I153" i="16" s="1"/>
  <c r="I40" i="16" s="1"/>
  <c r="I41" i="16" s="1"/>
  <c r="I47" i="16" s="1"/>
  <c r="I52" i="16" s="1"/>
  <c r="R148" i="16"/>
  <c r="R149" i="16" s="1"/>
  <c r="F448" i="16"/>
  <c r="F450" i="16" s="1"/>
  <c r="G341" i="25"/>
  <c r="G51" i="25" s="1"/>
  <c r="G341" i="16"/>
  <c r="G51" i="16" s="1"/>
  <c r="K79" i="27"/>
  <c r="S79" i="27"/>
  <c r="L85" i="27"/>
  <c r="L110" i="16"/>
  <c r="L111" i="16" s="1"/>
  <c r="L116" i="16" s="1"/>
  <c r="L110" i="25"/>
  <c r="L111" i="25" s="1"/>
  <c r="L116" i="25" s="1"/>
  <c r="H135" i="27"/>
  <c r="L135" i="27"/>
  <c r="J200" i="27"/>
  <c r="J397" i="25"/>
  <c r="J400" i="25" s="1"/>
  <c r="F375" i="25"/>
  <c r="F377" i="25" s="1"/>
  <c r="G397" i="27"/>
  <c r="L148" i="25"/>
  <c r="L149" i="25" s="1"/>
  <c r="L55" i="25" s="1"/>
  <c r="K475" i="25"/>
  <c r="K476" i="25" s="1"/>
  <c r="K439" i="27"/>
  <c r="L111" i="27"/>
  <c r="N97" i="27"/>
  <c r="N111" i="27" s="1"/>
  <c r="N86" i="27"/>
  <c r="F33" i="27"/>
  <c r="H85" i="27"/>
  <c r="H110" i="25"/>
  <c r="H111" i="25" s="1"/>
  <c r="H116" i="25" s="1"/>
  <c r="G397" i="25"/>
  <c r="G400" i="25" s="1"/>
  <c r="G397" i="16"/>
  <c r="G400" i="16" s="1"/>
  <c r="G376" i="25"/>
  <c r="H395" i="27"/>
  <c r="G376" i="16"/>
  <c r="N148" i="16"/>
  <c r="K434" i="27"/>
  <c r="O235" i="16"/>
  <c r="O236" i="16" s="1"/>
  <c r="O239" i="16" s="1"/>
  <c r="R397" i="25"/>
  <c r="R400" i="25" s="1"/>
  <c r="F200" i="27"/>
  <c r="F400" i="16"/>
  <c r="F75" i="16" s="1"/>
  <c r="F78" i="16" s="1"/>
  <c r="F80" i="16" s="1"/>
  <c r="F397" i="25"/>
  <c r="F400" i="25" s="1"/>
  <c r="K400" i="16"/>
  <c r="M433" i="16"/>
  <c r="M433" i="25"/>
  <c r="M77" i="25" s="1"/>
  <c r="H407" i="27"/>
  <c r="G449" i="25"/>
  <c r="G434" i="27"/>
  <c r="O434" i="27"/>
  <c r="J235" i="25"/>
  <c r="J236" i="25" s="1"/>
  <c r="N282" i="25"/>
  <c r="N283" i="25" s="1"/>
  <c r="N397" i="25"/>
  <c r="N400" i="25" s="1"/>
  <c r="V43" i="25" l="1"/>
  <c r="W241" i="25"/>
  <c r="U266" i="25"/>
  <c r="V364" i="25"/>
  <c r="V362" i="25"/>
  <c r="U368" i="25"/>
  <c r="U487" i="25"/>
  <c r="U119" i="25"/>
  <c r="V393" i="25"/>
  <c r="U256" i="25"/>
  <c r="T380" i="25"/>
  <c r="U380" i="25" s="1"/>
  <c r="T372" i="25"/>
  <c r="U372" i="25" s="1"/>
  <c r="U24" i="16"/>
  <c r="V23" i="16"/>
  <c r="U33" i="16"/>
  <c r="V33" i="16" s="1"/>
  <c r="T197" i="16"/>
  <c r="W26" i="16"/>
  <c r="X25" i="16"/>
  <c r="W252" i="16"/>
  <c r="T368" i="16"/>
  <c r="U321" i="16"/>
  <c r="F37" i="15"/>
  <c r="F38" i="15" s="1"/>
  <c r="W30" i="16"/>
  <c r="V31" i="16"/>
  <c r="T11" i="16"/>
  <c r="T10" i="16"/>
  <c r="U31" i="16"/>
  <c r="P193" i="25"/>
  <c r="P194" i="25" s="1"/>
  <c r="P54" i="25" s="1"/>
  <c r="P60" i="25"/>
  <c r="Q60" i="25"/>
  <c r="S131" i="25"/>
  <c r="S53" i="25"/>
  <c r="U337" i="16"/>
  <c r="F74" i="16"/>
  <c r="F72" i="16"/>
  <c r="K166" i="16"/>
  <c r="K40" i="16" s="1"/>
  <c r="K41" i="16" s="1"/>
  <c r="K47" i="16" s="1"/>
  <c r="K52" i="16" s="1"/>
  <c r="K55" i="16"/>
  <c r="L58" i="25"/>
  <c r="L57" i="25"/>
  <c r="J261" i="25"/>
  <c r="J262" i="25"/>
  <c r="J54" i="25" s="1"/>
  <c r="J60" i="25"/>
  <c r="G166" i="25"/>
  <c r="G40" i="25" s="1"/>
  <c r="G41" i="25" s="1"/>
  <c r="G47" i="25" s="1"/>
  <c r="G52" i="25" s="1"/>
  <c r="G55" i="25"/>
  <c r="F261" i="25"/>
  <c r="F262" i="25" s="1"/>
  <c r="F54" i="25" s="1"/>
  <c r="F60" i="25"/>
  <c r="K131" i="25"/>
  <c r="K53" i="25"/>
  <c r="F53" i="16"/>
  <c r="F131" i="16"/>
  <c r="H57" i="16"/>
  <c r="H58" i="16"/>
  <c r="T372" i="16"/>
  <c r="T408" i="16" s="1"/>
  <c r="T380" i="16"/>
  <c r="T348" i="16"/>
  <c r="T427" i="16"/>
  <c r="T370" i="16"/>
  <c r="H131" i="16"/>
  <c r="H53" i="16"/>
  <c r="P55" i="16"/>
  <c r="P166" i="16"/>
  <c r="P40" i="16" s="1"/>
  <c r="P41" i="16" s="1"/>
  <c r="P47" i="16" s="1"/>
  <c r="P52" i="16" s="1"/>
  <c r="F53" i="25"/>
  <c r="F131" i="25"/>
  <c r="H261" i="25"/>
  <c r="H262" i="25"/>
  <c r="H54" i="25" s="1"/>
  <c r="H60" i="25"/>
  <c r="M261" i="25"/>
  <c r="M262" i="25"/>
  <c r="M60" i="25"/>
  <c r="P261" i="16"/>
  <c r="P262" i="16"/>
  <c r="P54" i="16" s="1"/>
  <c r="P60" i="16"/>
  <c r="F72" i="25"/>
  <c r="F74" i="25"/>
  <c r="M53" i="16"/>
  <c r="M131" i="16"/>
  <c r="M194" i="16"/>
  <c r="M193" i="16"/>
  <c r="M60" i="16"/>
  <c r="J239" i="25"/>
  <c r="J42" i="25"/>
  <c r="J45" i="25" s="1"/>
  <c r="J47" i="25" s="1"/>
  <c r="J52" i="25" s="1"/>
  <c r="H449" i="25"/>
  <c r="I407" i="27"/>
  <c r="H449" i="16"/>
  <c r="I395" i="27"/>
  <c r="H376" i="16"/>
  <c r="H376" i="25"/>
  <c r="L152" i="25"/>
  <c r="K93" i="27"/>
  <c r="K95" i="27" s="1"/>
  <c r="K86" i="27"/>
  <c r="K97" i="27"/>
  <c r="K111" i="27" s="1"/>
  <c r="R152" i="16"/>
  <c r="V23" i="25"/>
  <c r="U24" i="25"/>
  <c r="R52" i="25"/>
  <c r="Y251" i="25"/>
  <c r="Z249" i="25"/>
  <c r="U287" i="25"/>
  <c r="T288" i="25"/>
  <c r="T202" i="25"/>
  <c r="I190" i="25"/>
  <c r="I191" i="25" s="1"/>
  <c r="K58" i="25"/>
  <c r="K57" i="25"/>
  <c r="M58" i="25"/>
  <c r="M57" i="25"/>
  <c r="V319" i="25"/>
  <c r="U321" i="25"/>
  <c r="U323" i="25" s="1"/>
  <c r="Y314" i="25"/>
  <c r="M378" i="27"/>
  <c r="N374" i="27"/>
  <c r="W35" i="25"/>
  <c r="V36" i="25"/>
  <c r="U439" i="16"/>
  <c r="Q162" i="16"/>
  <c r="R193" i="16"/>
  <c r="R194" i="16"/>
  <c r="R54" i="16" s="1"/>
  <c r="R60" i="16"/>
  <c r="F193" i="16"/>
  <c r="F60" i="16"/>
  <c r="F194" i="16"/>
  <c r="F54" i="16" s="1"/>
  <c r="Z249" i="16"/>
  <c r="Y251" i="16"/>
  <c r="Y250" i="16"/>
  <c r="Y252" i="16" s="1"/>
  <c r="U229" i="16"/>
  <c r="AB272" i="16"/>
  <c r="AA273" i="16"/>
  <c r="W316" i="16"/>
  <c r="V321" i="16"/>
  <c r="Y276" i="16"/>
  <c r="Z275" i="16"/>
  <c r="W36" i="16"/>
  <c r="X35" i="16"/>
  <c r="W18" i="16"/>
  <c r="X17" i="16"/>
  <c r="H93" i="27"/>
  <c r="H95" i="27" s="1"/>
  <c r="H86" i="27"/>
  <c r="L153" i="25"/>
  <c r="L40" i="25" s="1"/>
  <c r="L41" i="25" s="1"/>
  <c r="L47" i="25" s="1"/>
  <c r="L52" i="25" s="1"/>
  <c r="R153" i="16"/>
  <c r="R40" i="16" s="1"/>
  <c r="P131" i="25"/>
  <c r="P53" i="25"/>
  <c r="G118" i="25"/>
  <c r="G116" i="25"/>
  <c r="H166" i="25"/>
  <c r="H40" i="25" s="1"/>
  <c r="H41" i="25" s="1"/>
  <c r="H47" i="25" s="1"/>
  <c r="H52" i="25" s="1"/>
  <c r="H55" i="25"/>
  <c r="T91" i="25"/>
  <c r="N261" i="25"/>
  <c r="N262" i="25" s="1"/>
  <c r="N54" i="25" s="1"/>
  <c r="N60" i="25"/>
  <c r="F58" i="25"/>
  <c r="F57" i="25"/>
  <c r="I344" i="25"/>
  <c r="H343" i="25"/>
  <c r="H345" i="25" s="1"/>
  <c r="K262" i="25"/>
  <c r="K54" i="25" s="1"/>
  <c r="K60" i="25"/>
  <c r="K261" i="25"/>
  <c r="F75" i="25"/>
  <c r="F78" i="25" s="1"/>
  <c r="F80" i="25" s="1"/>
  <c r="T440" i="25"/>
  <c r="U440" i="25" s="1"/>
  <c r="T437" i="25"/>
  <c r="U29" i="25"/>
  <c r="T209" i="25"/>
  <c r="T409" i="25"/>
  <c r="T412" i="25" s="1"/>
  <c r="T147" i="25"/>
  <c r="T439" i="25"/>
  <c r="U439" i="25" s="1"/>
  <c r="T175" i="25"/>
  <c r="U175" i="25" s="1"/>
  <c r="T210" i="25"/>
  <c r="T174" i="25"/>
  <c r="U174" i="25" s="1"/>
  <c r="T181" i="25"/>
  <c r="U181" i="25" s="1"/>
  <c r="T177" i="25"/>
  <c r="U177" i="25" s="1"/>
  <c r="T183" i="25"/>
  <c r="U183" i="25" s="1"/>
  <c r="T180" i="25"/>
  <c r="U180" i="25" s="1"/>
  <c r="Q52" i="25"/>
  <c r="N131" i="25"/>
  <c r="N53" i="25"/>
  <c r="T211" i="25"/>
  <c r="X250" i="25"/>
  <c r="X252" i="25" s="1"/>
  <c r="W252" i="25"/>
  <c r="L319" i="27"/>
  <c r="M340" i="27"/>
  <c r="L341" i="27"/>
  <c r="O55" i="16"/>
  <c r="Y25" i="25"/>
  <c r="X26" i="25"/>
  <c r="F55" i="16"/>
  <c r="M261" i="16"/>
  <c r="M262" i="16" s="1"/>
  <c r="M77" i="16"/>
  <c r="N261" i="16"/>
  <c r="N262" i="16" s="1"/>
  <c r="V338" i="16"/>
  <c r="W334" i="16"/>
  <c r="T489" i="16"/>
  <c r="U437" i="16"/>
  <c r="V29" i="16"/>
  <c r="W29" i="16" s="1"/>
  <c r="U179" i="16"/>
  <c r="U183" i="16"/>
  <c r="U177" i="16"/>
  <c r="U180" i="16"/>
  <c r="V180" i="16" s="1"/>
  <c r="W180" i="16" s="1"/>
  <c r="U147" i="16"/>
  <c r="N194" i="16"/>
  <c r="N60" i="16"/>
  <c r="N193" i="16"/>
  <c r="J57" i="16"/>
  <c r="J58" i="16"/>
  <c r="R41" i="16"/>
  <c r="R47" i="16" s="1"/>
  <c r="R52" i="16" s="1"/>
  <c r="X25" i="20"/>
  <c r="S261" i="16"/>
  <c r="S262" i="16" s="1"/>
  <c r="K54" i="16"/>
  <c r="J261" i="16"/>
  <c r="J262" i="16" s="1"/>
  <c r="U487" i="16"/>
  <c r="V393" i="16"/>
  <c r="U256" i="16"/>
  <c r="U119" i="16"/>
  <c r="G385" i="16"/>
  <c r="G386" i="16"/>
  <c r="G62" i="16" s="1"/>
  <c r="G66" i="16" s="1"/>
  <c r="G70" i="16" s="1"/>
  <c r="G75" i="16"/>
  <c r="G78" i="16" s="1"/>
  <c r="G80" i="16" s="1"/>
  <c r="T43" i="16"/>
  <c r="U241" i="16"/>
  <c r="J193" i="16"/>
  <c r="J194" i="16" s="1"/>
  <c r="J54" i="16" s="1"/>
  <c r="J60" i="16"/>
  <c r="Y322" i="16"/>
  <c r="H385" i="16"/>
  <c r="H386" i="16"/>
  <c r="H62" i="16" s="1"/>
  <c r="H66" i="16" s="1"/>
  <c r="H70" i="16" s="1"/>
  <c r="V10" i="4"/>
  <c r="U11" i="4"/>
  <c r="AA314" i="16"/>
  <c r="U174" i="16"/>
  <c r="V174" i="16" s="1"/>
  <c r="W174" i="16" s="1"/>
  <c r="U175" i="16"/>
  <c r="N152" i="16"/>
  <c r="N149" i="16"/>
  <c r="H397" i="27"/>
  <c r="G375" i="16"/>
  <c r="G377" i="16" s="1"/>
  <c r="G375" i="25"/>
  <c r="G377" i="25" s="1"/>
  <c r="L93" i="27"/>
  <c r="L95" i="27" s="1"/>
  <c r="L86" i="27"/>
  <c r="I53" i="16"/>
  <c r="I131" i="16"/>
  <c r="I261" i="25"/>
  <c r="I262" i="25"/>
  <c r="I143" i="25"/>
  <c r="I22" i="25"/>
  <c r="H143" i="25"/>
  <c r="H22" i="25"/>
  <c r="P55" i="25"/>
  <c r="H476" i="25"/>
  <c r="H59" i="25"/>
  <c r="M54" i="25"/>
  <c r="G75" i="25"/>
  <c r="G78" i="25" s="1"/>
  <c r="G80" i="25" s="1"/>
  <c r="V30" i="25"/>
  <c r="U31" i="25"/>
  <c r="U33" i="25" s="1"/>
  <c r="Q58" i="25"/>
  <c r="Q57" i="25"/>
  <c r="S193" i="16"/>
  <c r="T193" i="16" s="1"/>
  <c r="U193" i="16" s="1"/>
  <c r="V193" i="16" s="1"/>
  <c r="W193" i="16" s="1"/>
  <c r="X193" i="16" s="1"/>
  <c r="Y193" i="16" s="1"/>
  <c r="Z193" i="16" s="1"/>
  <c r="AA193" i="16" s="1"/>
  <c r="AB193" i="16" s="1"/>
  <c r="AC193" i="16" s="1"/>
  <c r="S194" i="16"/>
  <c r="S60" i="16"/>
  <c r="G385" i="25"/>
  <c r="G386" i="25"/>
  <c r="G62" i="25" s="1"/>
  <c r="G66" i="25" s="1"/>
  <c r="G70" i="25" s="1"/>
  <c r="Z338" i="25"/>
  <c r="AA334" i="25"/>
  <c r="P9" i="20"/>
  <c r="P10" i="20" s="1"/>
  <c r="P11" i="20" s="1"/>
  <c r="Q9" i="20" s="1"/>
  <c r="Q10" i="20" s="1"/>
  <c r="Q11" i="20" s="1"/>
  <c r="O12" i="20"/>
  <c r="V26" i="20"/>
  <c r="V29" i="20" s="1"/>
  <c r="W23" i="20"/>
  <c r="O54" i="16"/>
  <c r="H320" i="16"/>
  <c r="G321" i="16"/>
  <c r="H59" i="16"/>
  <c r="H476" i="16"/>
  <c r="U440" i="16"/>
  <c r="Q261" i="16"/>
  <c r="Q262" i="16"/>
  <c r="Q54" i="16" s="1"/>
  <c r="R55" i="16"/>
  <c r="T266" i="16"/>
  <c r="U364" i="16"/>
  <c r="V365" i="16" s="1"/>
  <c r="T257" i="16"/>
  <c r="U257" i="16" s="1"/>
  <c r="V257" i="16" s="1"/>
  <c r="W257" i="16" s="1"/>
  <c r="X257" i="16" s="1"/>
  <c r="Y257" i="16" s="1"/>
  <c r="Z257" i="16" s="1"/>
  <c r="AA257" i="16" s="1"/>
  <c r="AB257" i="16" s="1"/>
  <c r="AC257" i="16" s="1"/>
  <c r="T202" i="16"/>
  <c r="K118" i="16"/>
  <c r="K116" i="16"/>
  <c r="H193" i="16"/>
  <c r="H194" i="16" s="1"/>
  <c r="H54" i="16" s="1"/>
  <c r="H60" i="16"/>
  <c r="J47" i="16"/>
  <c r="J52" i="16" s="1"/>
  <c r="X320" i="16"/>
  <c r="I194" i="16"/>
  <c r="I54" i="16" s="1"/>
  <c r="I60" i="16"/>
  <c r="I193" i="16"/>
  <c r="I381" i="16"/>
  <c r="I382" i="16"/>
  <c r="J395" i="16"/>
  <c r="T9" i="25"/>
  <c r="T19" i="25"/>
  <c r="T21" i="25"/>
  <c r="T22" i="25" s="1"/>
  <c r="T173" i="25"/>
  <c r="U15" i="25"/>
  <c r="T16" i="25"/>
  <c r="U15" i="16"/>
  <c r="U173" i="16" s="1"/>
  <c r="S351" i="16"/>
  <c r="W17" i="25"/>
  <c r="V18" i="25"/>
  <c r="S93" i="27"/>
  <c r="S95" i="27" s="1"/>
  <c r="S97" i="27"/>
  <c r="S111" i="27" s="1"/>
  <c r="S86" i="27"/>
  <c r="G448" i="16"/>
  <c r="G450" i="16" s="1"/>
  <c r="H404" i="27"/>
  <c r="G408" i="27"/>
  <c r="G448" i="25"/>
  <c r="G450" i="25" s="1"/>
  <c r="Y272" i="25"/>
  <c r="X273" i="25"/>
  <c r="Q143" i="25"/>
  <c r="Q22" i="25"/>
  <c r="P143" i="25"/>
  <c r="P22" i="25"/>
  <c r="O166" i="25"/>
  <c r="O40" i="25" s="1"/>
  <c r="O41" i="25" s="1"/>
  <c r="O47" i="25" s="1"/>
  <c r="O52" i="25" s="1"/>
  <c r="O55" i="25"/>
  <c r="O193" i="25"/>
  <c r="O194" i="25" s="1"/>
  <c r="O54" i="25" s="1"/>
  <c r="O60" i="25"/>
  <c r="M131" i="25"/>
  <c r="M53" i="25"/>
  <c r="U370" i="25"/>
  <c r="U348" i="25"/>
  <c r="U427" i="25"/>
  <c r="V368" i="25"/>
  <c r="X275" i="25"/>
  <c r="W276" i="25"/>
  <c r="R60" i="25"/>
  <c r="R261" i="25"/>
  <c r="R262" i="25" s="1"/>
  <c r="R54" i="25" s="1"/>
  <c r="I52" i="25"/>
  <c r="T197" i="25"/>
  <c r="T65" i="25"/>
  <c r="H382" i="25"/>
  <c r="I395" i="25"/>
  <c r="H381" i="25"/>
  <c r="H383" i="25" s="1"/>
  <c r="V322" i="25"/>
  <c r="J320" i="25"/>
  <c r="I321" i="25"/>
  <c r="O42" i="16"/>
  <c r="O45" i="16" s="1"/>
  <c r="O47" i="16" s="1"/>
  <c r="O52" i="16" s="1"/>
  <c r="U409" i="16"/>
  <c r="M55" i="16"/>
  <c r="Q29" i="20"/>
  <c r="U362" i="16"/>
  <c r="T160" i="16"/>
  <c r="G166" i="16"/>
  <c r="G40" i="16" s="1"/>
  <c r="G41" i="16" s="1"/>
  <c r="G47" i="16" s="1"/>
  <c r="G52" i="16" s="1"/>
  <c r="G55" i="16"/>
  <c r="L54" i="16"/>
  <c r="Q268" i="16"/>
  <c r="Q269" i="16" s="1"/>
  <c r="L45" i="16"/>
  <c r="L47" i="16" s="1"/>
  <c r="L52" i="16" s="1"/>
  <c r="K343" i="16"/>
  <c r="K345" i="16" s="1"/>
  <c r="L344" i="16"/>
  <c r="T179" i="25"/>
  <c r="U179" i="25" s="1"/>
  <c r="T182" i="25"/>
  <c r="T182" i="16"/>
  <c r="U178" i="16"/>
  <c r="U181" i="16"/>
  <c r="X30" i="16" l="1"/>
  <c r="W31" i="16"/>
  <c r="W33" i="16" s="1"/>
  <c r="T289" i="16"/>
  <c r="T292" i="16" s="1"/>
  <c r="V440" i="16"/>
  <c r="W440" i="16" s="1"/>
  <c r="V177" i="16"/>
  <c r="W177" i="16" s="1"/>
  <c r="T86" i="25"/>
  <c r="V178" i="16"/>
  <c r="W178" i="16" s="1"/>
  <c r="G34" i="15"/>
  <c r="G35" i="15" s="1"/>
  <c r="V183" i="16"/>
  <c r="W183" i="16" s="1"/>
  <c r="X26" i="16"/>
  <c r="Y25" i="16"/>
  <c r="V24" i="16"/>
  <c r="W23" i="16"/>
  <c r="V160" i="25"/>
  <c r="W362" i="25"/>
  <c r="W43" i="25"/>
  <c r="X241" i="25"/>
  <c r="X29" i="16"/>
  <c r="T452" i="16"/>
  <c r="T186" i="16"/>
  <c r="T265" i="16" s="1"/>
  <c r="T151" i="16"/>
  <c r="T384" i="16"/>
  <c r="T139" i="16"/>
  <c r="T299" i="16"/>
  <c r="T141" i="16"/>
  <c r="T434" i="16"/>
  <c r="T128" i="16" s="1"/>
  <c r="T138" i="16"/>
  <c r="T168" i="16"/>
  <c r="T169" i="16" s="1"/>
  <c r="T99" i="16" s="1"/>
  <c r="T341" i="16"/>
  <c r="T51" i="16" s="1"/>
  <c r="T420" i="16"/>
  <c r="T152" i="16"/>
  <c r="T238" i="16"/>
  <c r="T233" i="16" s="1"/>
  <c r="T329" i="16"/>
  <c r="T137" i="16"/>
  <c r="T400" i="16"/>
  <c r="T495" i="16" s="1"/>
  <c r="T12" i="16"/>
  <c r="T146" i="16"/>
  <c r="T13" i="16"/>
  <c r="T327" i="16"/>
  <c r="T330" i="16" s="1"/>
  <c r="T429" i="16"/>
  <c r="T340" i="16"/>
  <c r="T490" i="16" s="1"/>
  <c r="T453" i="16"/>
  <c r="T296" i="16"/>
  <c r="T433" i="16"/>
  <c r="T496" i="16" s="1"/>
  <c r="T148" i="16"/>
  <c r="T135" i="16"/>
  <c r="T140" i="16" s="1"/>
  <c r="T142" i="16" s="1"/>
  <c r="T397" i="16"/>
  <c r="T494" i="16" s="1"/>
  <c r="T424" i="16"/>
  <c r="T112" i="16" s="1"/>
  <c r="T357" i="16"/>
  <c r="T421" i="16"/>
  <c r="T281" i="16"/>
  <c r="T419" i="16"/>
  <c r="T302" i="16"/>
  <c r="T155" i="16"/>
  <c r="T459" i="16" s="1"/>
  <c r="T350" i="16" s="1"/>
  <c r="T136" i="16"/>
  <c r="T401" i="16"/>
  <c r="T127" i="16" s="1"/>
  <c r="T198" i="16"/>
  <c r="U197" i="16"/>
  <c r="V197" i="16" s="1"/>
  <c r="V181" i="16"/>
  <c r="W181" i="16" s="1"/>
  <c r="V409" i="16"/>
  <c r="W409" i="16" s="1"/>
  <c r="V175" i="16"/>
  <c r="W175" i="16" s="1"/>
  <c r="V179" i="16"/>
  <c r="W179" i="16" s="1"/>
  <c r="X179" i="16" s="1"/>
  <c r="V119" i="25"/>
  <c r="W393" i="25"/>
  <c r="V256" i="25"/>
  <c r="V487" i="25"/>
  <c r="W364" i="25"/>
  <c r="V266" i="25"/>
  <c r="W365" i="25"/>
  <c r="X365" i="25" s="1"/>
  <c r="O53" i="16"/>
  <c r="O131" i="16"/>
  <c r="R9" i="20"/>
  <c r="R10" i="20" s="1"/>
  <c r="R11" i="20" s="1"/>
  <c r="S9" i="20" s="1"/>
  <c r="S10" i="20" s="1"/>
  <c r="S11" i="20" s="1"/>
  <c r="S12" i="20" s="1"/>
  <c r="I193" i="25"/>
  <c r="I60" i="25"/>
  <c r="I194" i="25"/>
  <c r="I54" i="25" s="1"/>
  <c r="Q60" i="16"/>
  <c r="G53" i="16"/>
  <c r="G131" i="16"/>
  <c r="M58" i="16"/>
  <c r="M57" i="16"/>
  <c r="K320" i="25"/>
  <c r="J321" i="25"/>
  <c r="W322" i="25"/>
  <c r="V320" i="25"/>
  <c r="U65" i="25"/>
  <c r="U197" i="25"/>
  <c r="V370" i="25"/>
  <c r="V380" i="25"/>
  <c r="V427" i="25"/>
  <c r="V348" i="25"/>
  <c r="V372" i="25"/>
  <c r="U91" i="25"/>
  <c r="O131" i="25"/>
  <c r="O53" i="25"/>
  <c r="U173" i="25"/>
  <c r="J382" i="16"/>
  <c r="K395" i="16"/>
  <c r="J381" i="16"/>
  <c r="J383" i="16" s="1"/>
  <c r="W26" i="20"/>
  <c r="W29" i="20" s="1"/>
  <c r="X23" i="20"/>
  <c r="P12" i="20"/>
  <c r="R12" i="20"/>
  <c r="AA338" i="25"/>
  <c r="AB334" i="25"/>
  <c r="P58" i="25"/>
  <c r="P57" i="25"/>
  <c r="Y25" i="20"/>
  <c r="Z25" i="25"/>
  <c r="Y26" i="25"/>
  <c r="U147" i="25"/>
  <c r="T305" i="25"/>
  <c r="T307" i="25" s="1"/>
  <c r="T308" i="25" s="1"/>
  <c r="V29" i="25"/>
  <c r="V179" i="25" s="1"/>
  <c r="U336" i="25"/>
  <c r="I343" i="25"/>
  <c r="I345" i="25" s="1"/>
  <c r="J344" i="25"/>
  <c r="X18" i="16"/>
  <c r="Y17" i="16"/>
  <c r="Z276" i="16"/>
  <c r="AA275" i="16"/>
  <c r="Z251" i="16"/>
  <c r="Z250" i="16"/>
  <c r="AA249" i="16"/>
  <c r="Q166" i="16"/>
  <c r="Q40" i="16" s="1"/>
  <c r="Q41" i="16" s="1"/>
  <c r="Q47" i="16" s="1"/>
  <c r="Q52" i="16" s="1"/>
  <c r="W36" i="25"/>
  <c r="X35" i="25"/>
  <c r="Y250" i="25"/>
  <c r="Y252" i="25" s="1"/>
  <c r="U178" i="25"/>
  <c r="V178" i="25" s="1"/>
  <c r="G58" i="25"/>
  <c r="G57" i="25"/>
  <c r="K131" i="16"/>
  <c r="K53" i="16"/>
  <c r="V336" i="16"/>
  <c r="M344" i="16"/>
  <c r="L343" i="16"/>
  <c r="L345" i="16" s="1"/>
  <c r="H385" i="25"/>
  <c r="H386" i="25" s="1"/>
  <c r="H62" i="25" s="1"/>
  <c r="H66" i="25" s="1"/>
  <c r="H70" i="25" s="1"/>
  <c r="I131" i="25"/>
  <c r="I53" i="25"/>
  <c r="H408" i="27"/>
  <c r="H448" i="25"/>
  <c r="H450" i="25" s="1"/>
  <c r="I404" i="27"/>
  <c r="H448" i="16"/>
  <c r="H450" i="16" s="1"/>
  <c r="U21" i="16"/>
  <c r="U22" i="16" s="1"/>
  <c r="U19" i="16"/>
  <c r="U16" i="16"/>
  <c r="V15" i="16"/>
  <c r="U9" i="16"/>
  <c r="R57" i="16"/>
  <c r="R58" i="16"/>
  <c r="U412" i="16"/>
  <c r="V412" i="16" s="1"/>
  <c r="W412" i="16" s="1"/>
  <c r="S54" i="16"/>
  <c r="H375" i="16"/>
  <c r="H377" i="16" s="1"/>
  <c r="H375" i="25"/>
  <c r="H377" i="25" s="1"/>
  <c r="I397" i="27"/>
  <c r="AB314" i="16"/>
  <c r="G74" i="16"/>
  <c r="G72" i="16"/>
  <c r="R53" i="16"/>
  <c r="R131" i="16"/>
  <c r="O57" i="16"/>
  <c r="O58" i="16"/>
  <c r="V177" i="25"/>
  <c r="V175" i="25"/>
  <c r="T198" i="25"/>
  <c r="U437" i="25"/>
  <c r="T489" i="25"/>
  <c r="T371" i="25"/>
  <c r="U86" i="25"/>
  <c r="L131" i="25"/>
  <c r="L53" i="25"/>
  <c r="T234" i="16"/>
  <c r="AB273" i="16"/>
  <c r="AC272" i="16"/>
  <c r="V229" i="16"/>
  <c r="N378" i="27"/>
  <c r="O374" i="27"/>
  <c r="V287" i="25"/>
  <c r="U288" i="25"/>
  <c r="W23" i="25"/>
  <c r="V24" i="25"/>
  <c r="I376" i="16"/>
  <c r="J395" i="27"/>
  <c r="I376" i="25"/>
  <c r="J131" i="25"/>
  <c r="J53" i="25"/>
  <c r="M54" i="16"/>
  <c r="P131" i="16"/>
  <c r="P53" i="16"/>
  <c r="G131" i="25"/>
  <c r="G53" i="25"/>
  <c r="U182" i="16"/>
  <c r="T255" i="16"/>
  <c r="T258" i="16" s="1"/>
  <c r="V362" i="16"/>
  <c r="U160" i="16"/>
  <c r="I381" i="25"/>
  <c r="I382" i="25"/>
  <c r="J395" i="25"/>
  <c r="Y275" i="25"/>
  <c r="X276" i="25"/>
  <c r="Y273" i="25"/>
  <c r="Z272" i="25"/>
  <c r="W18" i="25"/>
  <c r="X17" i="25"/>
  <c r="I383" i="16"/>
  <c r="H321" i="16"/>
  <c r="I320" i="16"/>
  <c r="G74" i="25"/>
  <c r="G72" i="25"/>
  <c r="W30" i="25"/>
  <c r="V31" i="25"/>
  <c r="N153" i="16"/>
  <c r="N40" i="16" s="1"/>
  <c r="N41" i="16" s="1"/>
  <c r="N47" i="16" s="1"/>
  <c r="N52" i="16" s="1"/>
  <c r="N55" i="16"/>
  <c r="G37" i="15"/>
  <c r="V11" i="4"/>
  <c r="W10" i="4"/>
  <c r="Z322" i="16"/>
  <c r="Y320" i="16"/>
  <c r="U43" i="16"/>
  <c r="V241" i="16"/>
  <c r="W393" i="16"/>
  <c r="V256" i="16"/>
  <c r="V487" i="16"/>
  <c r="V119" i="16"/>
  <c r="N54" i="16"/>
  <c r="V437" i="16"/>
  <c r="U489" i="16"/>
  <c r="F57" i="16"/>
  <c r="F58" i="16"/>
  <c r="Q53" i="25"/>
  <c r="Q131" i="25"/>
  <c r="V181" i="25"/>
  <c r="V439" i="25"/>
  <c r="T408" i="25"/>
  <c r="T404" i="25" s="1"/>
  <c r="U409" i="25"/>
  <c r="V409" i="25" s="1"/>
  <c r="V440" i="25"/>
  <c r="H58" i="25"/>
  <c r="H57" i="25"/>
  <c r="X36" i="16"/>
  <c r="Y35" i="16"/>
  <c r="V439" i="16"/>
  <c r="W439" i="16" s="1"/>
  <c r="V321" i="25"/>
  <c r="V323" i="25" s="1"/>
  <c r="P57" i="16"/>
  <c r="P58" i="16"/>
  <c r="T91" i="16"/>
  <c r="T86" i="16"/>
  <c r="T404" i="16"/>
  <c r="U182" i="25"/>
  <c r="T255" i="25"/>
  <c r="T258" i="25" s="1"/>
  <c r="L53" i="16"/>
  <c r="L131" i="16"/>
  <c r="G57" i="16"/>
  <c r="G58" i="16"/>
  <c r="V33" i="25"/>
  <c r="O58" i="25"/>
  <c r="O57" i="25"/>
  <c r="V15" i="25"/>
  <c r="U19" i="25"/>
  <c r="U16" i="25"/>
  <c r="U21" i="25"/>
  <c r="U22" i="25" s="1"/>
  <c r="T11" i="25"/>
  <c r="U9" i="25"/>
  <c r="T10" i="25"/>
  <c r="J131" i="16"/>
  <c r="J53" i="16"/>
  <c r="U266" i="16"/>
  <c r="V364" i="16"/>
  <c r="W365" i="16" s="1"/>
  <c r="Q12" i="20"/>
  <c r="T482" i="16"/>
  <c r="T472" i="16"/>
  <c r="H72" i="16"/>
  <c r="H74" i="16"/>
  <c r="V147" i="16"/>
  <c r="U305" i="16"/>
  <c r="U307" i="16" s="1"/>
  <c r="U308" i="16" s="1"/>
  <c r="X334" i="16"/>
  <c r="W338" i="16"/>
  <c r="M341" i="27"/>
  <c r="N340" i="27"/>
  <c r="M319" i="27"/>
  <c r="V180" i="25"/>
  <c r="V174" i="25"/>
  <c r="T213" i="25"/>
  <c r="H75" i="25"/>
  <c r="H78" i="25" s="1"/>
  <c r="H80" i="25" s="1"/>
  <c r="H53" i="25"/>
  <c r="H131" i="25"/>
  <c r="X316" i="16"/>
  <c r="W321" i="16"/>
  <c r="Z314" i="25"/>
  <c r="Z250" i="25"/>
  <c r="Z252" i="25" s="1"/>
  <c r="AA249" i="25"/>
  <c r="Z251" i="25"/>
  <c r="R53" i="25"/>
  <c r="R131" i="25"/>
  <c r="J407" i="27"/>
  <c r="I449" i="16"/>
  <c r="I449" i="25"/>
  <c r="Q55" i="16"/>
  <c r="U368" i="16"/>
  <c r="K57" i="16"/>
  <c r="K58" i="16"/>
  <c r="X33" i="16" l="1"/>
  <c r="W197" i="16"/>
  <c r="X197" i="16" s="1"/>
  <c r="T279" i="16"/>
  <c r="T39" i="16"/>
  <c r="T199" i="16"/>
  <c r="U198" i="16"/>
  <c r="V198" i="16" s="1"/>
  <c r="W198" i="16" s="1"/>
  <c r="X198" i="16" s="1"/>
  <c r="T149" i="16"/>
  <c r="X362" i="25"/>
  <c r="W160" i="25"/>
  <c r="Z25" i="16"/>
  <c r="Y26" i="16"/>
  <c r="X178" i="16"/>
  <c r="X177" i="16"/>
  <c r="Y30" i="16"/>
  <c r="Y29" i="16" s="1"/>
  <c r="X31" i="16"/>
  <c r="U412" i="25"/>
  <c r="V412" i="25" s="1"/>
  <c r="X439" i="16"/>
  <c r="Z252" i="16"/>
  <c r="X175" i="16"/>
  <c r="X409" i="16"/>
  <c r="T422" i="16"/>
  <c r="T108" i="16" s="1"/>
  <c r="X180" i="16"/>
  <c r="X440" i="16"/>
  <c r="X174" i="16"/>
  <c r="W368" i="25"/>
  <c r="W266" i="25"/>
  <c r="X364" i="25"/>
  <c r="W256" i="25"/>
  <c r="W487" i="25"/>
  <c r="W119" i="25"/>
  <c r="X393" i="25"/>
  <c r="X181" i="16"/>
  <c r="T331" i="16"/>
  <c r="T48" i="16" s="1"/>
  <c r="T156" i="16"/>
  <c r="T97" i="16" s="1"/>
  <c r="X43" i="25"/>
  <c r="Y241" i="25"/>
  <c r="X23" i="16"/>
  <c r="W24" i="16"/>
  <c r="X183" i="16"/>
  <c r="T398" i="16"/>
  <c r="T126" i="16" s="1"/>
  <c r="V65" i="25"/>
  <c r="H74" i="25"/>
  <c r="H72" i="25"/>
  <c r="U427" i="16"/>
  <c r="U370" i="16"/>
  <c r="U86" i="16" s="1"/>
  <c r="U348" i="16"/>
  <c r="U372" i="16"/>
  <c r="V368" i="16"/>
  <c r="U380" i="16"/>
  <c r="U10" i="25"/>
  <c r="V9" i="25"/>
  <c r="T260" i="25"/>
  <c r="T259" i="25"/>
  <c r="T261" i="25"/>
  <c r="U410" i="25"/>
  <c r="W256" i="16"/>
  <c r="W119" i="16"/>
  <c r="X393" i="16"/>
  <c r="W487" i="16"/>
  <c r="I321" i="16"/>
  <c r="J320" i="16"/>
  <c r="J381" i="25"/>
  <c r="J383" i="25" s="1"/>
  <c r="J382" i="25"/>
  <c r="K395" i="25"/>
  <c r="W362" i="16"/>
  <c r="V160" i="16"/>
  <c r="W24" i="25"/>
  <c r="X23" i="25"/>
  <c r="W287" i="25"/>
  <c r="U371" i="25"/>
  <c r="V86" i="25"/>
  <c r="V437" i="25"/>
  <c r="U489" i="25"/>
  <c r="M343" i="16"/>
  <c r="M345" i="16" s="1"/>
  <c r="N344" i="16"/>
  <c r="U305" i="25"/>
  <c r="U307" i="25" s="1"/>
  <c r="U308" i="25" s="1"/>
  <c r="V147" i="25"/>
  <c r="K382" i="16"/>
  <c r="L395" i="16"/>
  <c r="K381" i="16"/>
  <c r="X368" i="25"/>
  <c r="W372" i="25"/>
  <c r="W348" i="25"/>
  <c r="W427" i="25"/>
  <c r="W370" i="25"/>
  <c r="W380" i="25"/>
  <c r="L320" i="25"/>
  <c r="K321" i="25"/>
  <c r="K407" i="27"/>
  <c r="J449" i="16"/>
  <c r="J449" i="25"/>
  <c r="Y316" i="16"/>
  <c r="X321" i="16"/>
  <c r="T340" i="25"/>
  <c r="T146" i="25"/>
  <c r="T424" i="25"/>
  <c r="T302" i="25"/>
  <c r="T433" i="25"/>
  <c r="T186" i="25"/>
  <c r="T296" i="25"/>
  <c r="T136" i="25"/>
  <c r="U136" i="25" s="1"/>
  <c r="T419" i="25"/>
  <c r="T12" i="25"/>
  <c r="T168" i="25"/>
  <c r="T139" i="25"/>
  <c r="U139" i="25" s="1"/>
  <c r="T341" i="25"/>
  <c r="T434" i="25"/>
  <c r="T137" i="25"/>
  <c r="U137" i="25" s="1"/>
  <c r="T329" i="25"/>
  <c r="U329" i="25" s="1"/>
  <c r="T299" i="25"/>
  <c r="T420" i="25"/>
  <c r="U11" i="25"/>
  <c r="T429" i="25"/>
  <c r="U429" i="25" s="1"/>
  <c r="T13" i="25"/>
  <c r="T384" i="25"/>
  <c r="T151" i="25"/>
  <c r="U151" i="25" s="1"/>
  <c r="T452" i="25"/>
  <c r="U452" i="25" s="1"/>
  <c r="T400" i="25"/>
  <c r="T135" i="25"/>
  <c r="T327" i="25"/>
  <c r="T281" i="25"/>
  <c r="U281" i="25" s="1"/>
  <c r="T148" i="25"/>
  <c r="T238" i="25"/>
  <c r="T421" i="25"/>
  <c r="U421" i="25" s="1"/>
  <c r="T152" i="25"/>
  <c r="U152" i="25" s="1"/>
  <c r="T357" i="25"/>
  <c r="T138" i="25"/>
  <c r="T141" i="25"/>
  <c r="U141" i="25" s="1"/>
  <c r="T169" i="25"/>
  <c r="T397" i="25"/>
  <c r="T398" i="25" s="1"/>
  <c r="T155" i="25"/>
  <c r="V16" i="25"/>
  <c r="V21" i="25"/>
  <c r="V22" i="25" s="1"/>
  <c r="V19" i="25"/>
  <c r="W15" i="25"/>
  <c r="U255" i="25"/>
  <c r="U258" i="25" s="1"/>
  <c r="V182" i="25"/>
  <c r="Y36" i="16"/>
  <c r="Z35" i="16"/>
  <c r="V489" i="16"/>
  <c r="W437" i="16"/>
  <c r="W241" i="16"/>
  <c r="V43" i="16"/>
  <c r="AA322" i="16"/>
  <c r="AB322" i="16" s="1"/>
  <c r="AC322" i="16" s="1"/>
  <c r="G38" i="15"/>
  <c r="H34" i="15"/>
  <c r="X30" i="25"/>
  <c r="W31" i="25"/>
  <c r="J376" i="16"/>
  <c r="K395" i="27"/>
  <c r="J376" i="25"/>
  <c r="P374" i="27"/>
  <c r="O378" i="27"/>
  <c r="T236" i="16"/>
  <c r="T199" i="25"/>
  <c r="U198" i="25"/>
  <c r="V9" i="16"/>
  <c r="U10" i="16"/>
  <c r="U11" i="16"/>
  <c r="I448" i="16"/>
  <c r="I450" i="16" s="1"/>
  <c r="I448" i="25"/>
  <c r="I450" i="25" s="1"/>
  <c r="I408" i="27"/>
  <c r="J404" i="27"/>
  <c r="U408" i="25"/>
  <c r="U404" i="25" s="1"/>
  <c r="Y18" i="16"/>
  <c r="Z17" i="16"/>
  <c r="V336" i="25"/>
  <c r="U337" i="25"/>
  <c r="V183" i="25"/>
  <c r="Z25" i="20"/>
  <c r="AB338" i="25"/>
  <c r="AC334" i="25"/>
  <c r="V91" i="25"/>
  <c r="Q58" i="16"/>
  <c r="Q57" i="16"/>
  <c r="AA251" i="25"/>
  <c r="AA252" i="25"/>
  <c r="AA250" i="25"/>
  <c r="AB249" i="25"/>
  <c r="V305" i="16"/>
  <c r="V307" i="16" s="1"/>
  <c r="V308" i="16" s="1"/>
  <c r="W147" i="16"/>
  <c r="W11" i="4"/>
  <c r="X10" i="4"/>
  <c r="N58" i="16"/>
  <c r="N57" i="16"/>
  <c r="I385" i="16"/>
  <c r="I386" i="16" s="1"/>
  <c r="I62" i="16" s="1"/>
  <c r="I66" i="16" s="1"/>
  <c r="I70" i="16" s="1"/>
  <c r="I75" i="16"/>
  <c r="I78" i="16" s="1"/>
  <c r="I80" i="16" s="1"/>
  <c r="Z273" i="25"/>
  <c r="AA272" i="25"/>
  <c r="Y276" i="25"/>
  <c r="Z275" i="25"/>
  <c r="I383" i="25"/>
  <c r="I75" i="25" s="1"/>
  <c r="I78" i="25" s="1"/>
  <c r="I80" i="25" s="1"/>
  <c r="T260" i="16"/>
  <c r="T204" i="16" s="1"/>
  <c r="T259" i="16"/>
  <c r="T262" i="16" s="1"/>
  <c r="T261" i="16"/>
  <c r="W229" i="16"/>
  <c r="AC314" i="16"/>
  <c r="I375" i="25"/>
  <c r="I377" i="25" s="1"/>
  <c r="J397" i="27"/>
  <c r="I375" i="16"/>
  <c r="I377" i="16" s="1"/>
  <c r="V19" i="16"/>
  <c r="V16" i="16"/>
  <c r="W15" i="16"/>
  <c r="V21" i="16"/>
  <c r="V22" i="16" s="1"/>
  <c r="W336" i="16"/>
  <c r="V337" i="16"/>
  <c r="T289" i="25"/>
  <c r="T292" i="25" s="1"/>
  <c r="Q53" i="16"/>
  <c r="Q131" i="16"/>
  <c r="W29" i="25"/>
  <c r="W175" i="25" s="1"/>
  <c r="X26" i="20"/>
  <c r="X29" i="20" s="1"/>
  <c r="Y23" i="20"/>
  <c r="V173" i="25"/>
  <c r="V197" i="25"/>
  <c r="X322" i="25"/>
  <c r="X320" i="25" s="1"/>
  <c r="X321" i="25" s="1"/>
  <c r="W320" i="25"/>
  <c r="W321" i="25" s="1"/>
  <c r="W323" i="25" s="1"/>
  <c r="AA314" i="25"/>
  <c r="N341" i="27"/>
  <c r="O340" i="27"/>
  <c r="N319" i="27"/>
  <c r="X338" i="16"/>
  <c r="Y334" i="16"/>
  <c r="V266" i="16"/>
  <c r="W364" i="16"/>
  <c r="W33" i="25"/>
  <c r="T464" i="16"/>
  <c r="T371" i="16"/>
  <c r="N131" i="16"/>
  <c r="N53" i="16"/>
  <c r="Y17" i="25"/>
  <c r="X18" i="25"/>
  <c r="U255" i="16"/>
  <c r="U258" i="16" s="1"/>
  <c r="V182" i="16"/>
  <c r="AC273" i="16"/>
  <c r="T456" i="16"/>
  <c r="T349" i="16" s="1"/>
  <c r="T428" i="16"/>
  <c r="T267" i="16"/>
  <c r="X36" i="25"/>
  <c r="Y35" i="25"/>
  <c r="AA250" i="16"/>
  <c r="AA251" i="16"/>
  <c r="AB249" i="16"/>
  <c r="AB275" i="16"/>
  <c r="AA276" i="16"/>
  <c r="J343" i="25"/>
  <c r="J345" i="25" s="1"/>
  <c r="J75" i="25" s="1"/>
  <c r="J78" i="25" s="1"/>
  <c r="J80" i="25" s="1"/>
  <c r="K344" i="25"/>
  <c r="Z26" i="25"/>
  <c r="AA25" i="25"/>
  <c r="J386" i="16"/>
  <c r="J62" i="16" s="1"/>
  <c r="J66" i="16" s="1"/>
  <c r="J70" i="16" s="1"/>
  <c r="J385" i="16"/>
  <c r="J75" i="16"/>
  <c r="J78" i="16" s="1"/>
  <c r="J80" i="16" s="1"/>
  <c r="Z320" i="16"/>
  <c r="V173" i="16"/>
  <c r="W173" i="16" s="1"/>
  <c r="Y179" i="16" l="1"/>
  <c r="Y174" i="16"/>
  <c r="Y177" i="16"/>
  <c r="U168" i="25"/>
  <c r="U169" i="25" s="1"/>
  <c r="Y183" i="16"/>
  <c r="X256" i="25"/>
  <c r="X487" i="25"/>
  <c r="X119" i="25"/>
  <c r="Y393" i="25"/>
  <c r="X266" i="25"/>
  <c r="Y364" i="25"/>
  <c r="Y440" i="16"/>
  <c r="Y178" i="16"/>
  <c r="W173" i="25"/>
  <c r="U384" i="25"/>
  <c r="U420" i="25"/>
  <c r="V420" i="25" s="1"/>
  <c r="T262" i="25"/>
  <c r="Y180" i="16"/>
  <c r="T282" i="16"/>
  <c r="T280" i="16"/>
  <c r="T283" i="16" s="1"/>
  <c r="T411" i="16"/>
  <c r="Y43" i="25"/>
  <c r="Z241" i="25"/>
  <c r="Y181" i="16"/>
  <c r="Y409" i="16"/>
  <c r="X29" i="25"/>
  <c r="X175" i="25" s="1"/>
  <c r="Y175" i="16"/>
  <c r="X160" i="25"/>
  <c r="Y362" i="25"/>
  <c r="T172" i="16"/>
  <c r="U199" i="16"/>
  <c r="V199" i="16" s="1"/>
  <c r="W199" i="16" s="1"/>
  <c r="X199" i="16" s="1"/>
  <c r="Y33" i="16"/>
  <c r="Y197" i="16" s="1"/>
  <c r="AA252" i="16"/>
  <c r="W177" i="25"/>
  <c r="X177" i="25" s="1"/>
  <c r="W409" i="25"/>
  <c r="X409" i="25" s="1"/>
  <c r="AA320" i="16"/>
  <c r="U357" i="25"/>
  <c r="V357" i="25" s="1"/>
  <c r="U148" i="25"/>
  <c r="V148" i="25" s="1"/>
  <c r="X24" i="16"/>
  <c r="Y23" i="16"/>
  <c r="Y439" i="16"/>
  <c r="Z30" i="16"/>
  <c r="Z29" i="16" s="1"/>
  <c r="Y31" i="16"/>
  <c r="AA25" i="16"/>
  <c r="Z26" i="16"/>
  <c r="T153" i="16"/>
  <c r="T96" i="16" s="1"/>
  <c r="T457" i="16"/>
  <c r="X412" i="16"/>
  <c r="Y412" i="16" s="1"/>
  <c r="T415" i="16"/>
  <c r="Y365" i="25"/>
  <c r="Z365" i="25" s="1"/>
  <c r="W65" i="25"/>
  <c r="X323" i="25"/>
  <c r="I74" i="16"/>
  <c r="I72" i="16"/>
  <c r="K343" i="25"/>
  <c r="K345" i="25" s="1"/>
  <c r="L344" i="25"/>
  <c r="AC249" i="16"/>
  <c r="AB250" i="16"/>
  <c r="AB251" i="16"/>
  <c r="Y36" i="25"/>
  <c r="Z35" i="25"/>
  <c r="T430" i="16"/>
  <c r="W197" i="25"/>
  <c r="J375" i="25"/>
  <c r="J377" i="25" s="1"/>
  <c r="J375" i="16"/>
  <c r="J377" i="16" s="1"/>
  <c r="K397" i="27"/>
  <c r="AA275" i="25"/>
  <c r="Z276" i="25"/>
  <c r="W181" i="25"/>
  <c r="X181" i="25" s="1"/>
  <c r="AB251" i="25"/>
  <c r="AB250" i="25"/>
  <c r="AC249" i="25"/>
  <c r="AC338" i="25"/>
  <c r="W183" i="25"/>
  <c r="X183" i="25" s="1"/>
  <c r="J448" i="16"/>
  <c r="J450" i="16" s="1"/>
  <c r="J448" i="25"/>
  <c r="J450" i="25" s="1"/>
  <c r="K404" i="27"/>
  <c r="J408" i="27"/>
  <c r="U299" i="16"/>
  <c r="U302" i="16"/>
  <c r="U12" i="16"/>
  <c r="U289" i="16"/>
  <c r="U292" i="16" s="1"/>
  <c r="V11" i="16"/>
  <c r="U296" i="16"/>
  <c r="U13" i="16"/>
  <c r="U148" i="16"/>
  <c r="V148" i="16" s="1"/>
  <c r="U327" i="16"/>
  <c r="U429" i="16"/>
  <c r="V429" i="16" s="1"/>
  <c r="U329" i="16"/>
  <c r="U424" i="16"/>
  <c r="U397" i="16"/>
  <c r="U401" i="16"/>
  <c r="U340" i="16"/>
  <c r="U419" i="16"/>
  <c r="U400" i="16"/>
  <c r="U146" i="16"/>
  <c r="U433" i="16"/>
  <c r="U155" i="16"/>
  <c r="U341" i="16"/>
  <c r="U156" i="16"/>
  <c r="U139" i="16"/>
  <c r="U138" i="16"/>
  <c r="U151" i="16"/>
  <c r="V151" i="16" s="1"/>
  <c r="U281" i="16"/>
  <c r="V281" i="16" s="1"/>
  <c r="U238" i="16"/>
  <c r="U452" i="16"/>
  <c r="V452" i="16" s="1"/>
  <c r="U357" i="16"/>
  <c r="V357" i="16" s="1"/>
  <c r="U152" i="16"/>
  <c r="V152" i="16" s="1"/>
  <c r="U384" i="16"/>
  <c r="U137" i="16"/>
  <c r="V137" i="16" s="1"/>
  <c r="U168" i="16"/>
  <c r="V168" i="16" s="1"/>
  <c r="U434" i="16"/>
  <c r="U135" i="16"/>
  <c r="U136" i="16"/>
  <c r="V136" i="16" s="1"/>
  <c r="U421" i="16"/>
  <c r="V421" i="16" s="1"/>
  <c r="U141" i="16"/>
  <c r="V141" i="16" s="1"/>
  <c r="U420" i="16"/>
  <c r="U186" i="16"/>
  <c r="U398" i="16"/>
  <c r="T218" i="16"/>
  <c r="U289" i="25"/>
  <c r="U292" i="25" s="1"/>
  <c r="H35" i="15"/>
  <c r="H37" i="15"/>
  <c r="AC320" i="16"/>
  <c r="W489" i="16"/>
  <c r="X437" i="16"/>
  <c r="Z36" i="16"/>
  <c r="AA35" i="16"/>
  <c r="X15" i="25"/>
  <c r="W16" i="25"/>
  <c r="W21" i="25"/>
  <c r="W22" i="25" s="1"/>
  <c r="W19" i="25"/>
  <c r="U155" i="25"/>
  <c r="T350" i="25"/>
  <c r="T459" i="25"/>
  <c r="T156" i="25"/>
  <c r="U135" i="25"/>
  <c r="T140" i="25"/>
  <c r="U299" i="25"/>
  <c r="U296" i="25"/>
  <c r="U12" i="25"/>
  <c r="U302" i="25"/>
  <c r="U13" i="25"/>
  <c r="V11" i="25"/>
  <c r="V421" i="25" s="1"/>
  <c r="T51" i="25"/>
  <c r="U341" i="25"/>
  <c r="T265" i="25"/>
  <c r="U186" i="25"/>
  <c r="T149" i="25"/>
  <c r="U146" i="25"/>
  <c r="Z316" i="16"/>
  <c r="Y321" i="16"/>
  <c r="L407" i="27"/>
  <c r="K449" i="25"/>
  <c r="K449" i="16"/>
  <c r="K383" i="16"/>
  <c r="V305" i="25"/>
  <c r="V307" i="25" s="1"/>
  <c r="V308" i="25" s="1"/>
  <c r="W147" i="25"/>
  <c r="J72" i="16"/>
  <c r="J74" i="16"/>
  <c r="X364" i="16"/>
  <c r="W266" i="16"/>
  <c r="W19" i="16"/>
  <c r="W21" i="16"/>
  <c r="W22" i="16" s="1"/>
  <c r="X15" i="16"/>
  <c r="X173" i="16" s="1"/>
  <c r="W16" i="16"/>
  <c r="Y10" i="4"/>
  <c r="X11" i="4"/>
  <c r="W440" i="25"/>
  <c r="X440" i="25" s="1"/>
  <c r="W305" i="16"/>
  <c r="W307" i="16" s="1"/>
  <c r="W308" i="16" s="1"/>
  <c r="X147" i="16"/>
  <c r="V198" i="25"/>
  <c r="W198" i="25" s="1"/>
  <c r="Y30" i="25"/>
  <c r="Y29" i="25" s="1"/>
  <c r="X31" i="25"/>
  <c r="X33" i="25" s="1"/>
  <c r="T494" i="25"/>
  <c r="U397" i="25"/>
  <c r="U398" i="25" s="1"/>
  <c r="T279" i="25"/>
  <c r="T415" i="25"/>
  <c r="U138" i="25"/>
  <c r="U400" i="25"/>
  <c r="T495" i="25"/>
  <c r="T401" i="25"/>
  <c r="V139" i="25"/>
  <c r="T422" i="25"/>
  <c r="T108" i="25" s="1"/>
  <c r="U419" i="25"/>
  <c r="T496" i="25"/>
  <c r="U433" i="25"/>
  <c r="U434" i="25" s="1"/>
  <c r="T490" i="25"/>
  <c r="U340" i="25"/>
  <c r="M395" i="16"/>
  <c r="L381" i="16"/>
  <c r="L382" i="16"/>
  <c r="W437" i="25"/>
  <c r="V489" i="25"/>
  <c r="J385" i="25"/>
  <c r="J386" i="25" s="1"/>
  <c r="J62" i="25" s="1"/>
  <c r="J66" i="25" s="1"/>
  <c r="J70" i="25" s="1"/>
  <c r="V410" i="25"/>
  <c r="U209" i="25"/>
  <c r="U91" i="16"/>
  <c r="W179" i="25"/>
  <c r="X179" i="25" s="1"/>
  <c r="AB320" i="16"/>
  <c r="AB25" i="25"/>
  <c r="AA26" i="25"/>
  <c r="T351" i="16"/>
  <c r="W182" i="16"/>
  <c r="V255" i="16"/>
  <c r="V258" i="16" s="1"/>
  <c r="Z17" i="25"/>
  <c r="Y18" i="25"/>
  <c r="U371" i="16"/>
  <c r="AB314" i="25"/>
  <c r="Y322" i="25"/>
  <c r="Y320" i="25" s="1"/>
  <c r="Y321" i="25" s="1"/>
  <c r="X173" i="25"/>
  <c r="X336" i="16"/>
  <c r="W337" i="16"/>
  <c r="X229" i="16"/>
  <c r="AB272" i="25"/>
  <c r="AA273" i="25"/>
  <c r="W336" i="25"/>
  <c r="V337" i="25"/>
  <c r="W9" i="16"/>
  <c r="V10" i="16"/>
  <c r="U199" i="25"/>
  <c r="T172" i="25"/>
  <c r="K376" i="25"/>
  <c r="K376" i="16"/>
  <c r="L395" i="27"/>
  <c r="W182" i="25"/>
  <c r="V255" i="25"/>
  <c r="V258" i="25" s="1"/>
  <c r="T126" i="25"/>
  <c r="T233" i="25"/>
  <c r="U238" i="25"/>
  <c r="V238" i="25" s="1"/>
  <c r="V281" i="25"/>
  <c r="V137" i="25"/>
  <c r="V168" i="25"/>
  <c r="W180" i="25"/>
  <c r="X180" i="25" s="1"/>
  <c r="O344" i="16"/>
  <c r="N343" i="16"/>
  <c r="N345" i="16" s="1"/>
  <c r="V371" i="25"/>
  <c r="W86" i="25"/>
  <c r="X287" i="25"/>
  <c r="W160" i="16"/>
  <c r="X362" i="16"/>
  <c r="T464" i="25"/>
  <c r="W9" i="25"/>
  <c r="V10" i="25"/>
  <c r="V380" i="16"/>
  <c r="W368" i="16"/>
  <c r="V370" i="16"/>
  <c r="V427" i="16"/>
  <c r="V372" i="16"/>
  <c r="V348" i="16"/>
  <c r="AC275" i="16"/>
  <c r="AB276" i="16"/>
  <c r="T269" i="16"/>
  <c r="T270" i="16" s="1"/>
  <c r="T216" i="16"/>
  <c r="T95" i="16"/>
  <c r="U261" i="16"/>
  <c r="U260" i="16"/>
  <c r="U259" i="16"/>
  <c r="Y338" i="16"/>
  <c r="Z334" i="16"/>
  <c r="O341" i="27"/>
  <c r="O319" i="27"/>
  <c r="P340" i="27"/>
  <c r="Z23" i="20"/>
  <c r="Y26" i="20"/>
  <c r="Y29" i="20" s="1"/>
  <c r="I385" i="25"/>
  <c r="I386" i="25"/>
  <c r="I62" i="25" s="1"/>
  <c r="I66" i="25" s="1"/>
  <c r="I70" i="25" s="1"/>
  <c r="AA25" i="20"/>
  <c r="AA17" i="16"/>
  <c r="Z18" i="16"/>
  <c r="P378" i="27"/>
  <c r="Q374" i="27"/>
  <c r="X241" i="16"/>
  <c r="W43" i="16"/>
  <c r="W439" i="25"/>
  <c r="X439" i="25" s="1"/>
  <c r="U260" i="25"/>
  <c r="U259" i="25"/>
  <c r="U262" i="25" s="1"/>
  <c r="U261" i="25"/>
  <c r="T99" i="25"/>
  <c r="T453" i="25"/>
  <c r="U453" i="25" s="1"/>
  <c r="T330" i="25"/>
  <c r="T331" i="25" s="1"/>
  <c r="T48" i="25" s="1"/>
  <c r="U327" i="25"/>
  <c r="V151" i="25"/>
  <c r="T128" i="25"/>
  <c r="T97" i="25"/>
  <c r="T112" i="25"/>
  <c r="U424" i="25"/>
  <c r="M320" i="25"/>
  <c r="L321" i="25"/>
  <c r="W91" i="25"/>
  <c r="X372" i="25"/>
  <c r="X348" i="25"/>
  <c r="X370" i="25"/>
  <c r="X427" i="25"/>
  <c r="X380" i="25"/>
  <c r="W178" i="25"/>
  <c r="X178" i="25" s="1"/>
  <c r="Y23" i="25"/>
  <c r="X24" i="25"/>
  <c r="K382" i="25"/>
  <c r="L395" i="25"/>
  <c r="K381" i="25"/>
  <c r="K320" i="16"/>
  <c r="J321" i="16"/>
  <c r="X256" i="16"/>
  <c r="X487" i="16"/>
  <c r="Y393" i="16"/>
  <c r="X119" i="16"/>
  <c r="W174" i="25"/>
  <c r="X174" i="25" s="1"/>
  <c r="X365" i="16"/>
  <c r="Z177" i="16" l="1"/>
  <c r="Z180" i="16"/>
  <c r="Y198" i="16"/>
  <c r="Z179" i="16"/>
  <c r="Z174" i="16"/>
  <c r="Y365" i="16"/>
  <c r="AB252" i="16"/>
  <c r="T416" i="16"/>
  <c r="T466" i="16"/>
  <c r="Z439" i="16"/>
  <c r="Y199" i="16"/>
  <c r="Z175" i="16"/>
  <c r="AA241" i="25"/>
  <c r="Z43" i="25"/>
  <c r="Y266" i="25"/>
  <c r="Z364" i="25"/>
  <c r="AC276" i="16"/>
  <c r="V429" i="25"/>
  <c r="V329" i="25"/>
  <c r="W412" i="25"/>
  <c r="X412" i="25" s="1"/>
  <c r="V141" i="25"/>
  <c r="W141" i="25" s="1"/>
  <c r="Z412" i="16"/>
  <c r="AA26" i="16"/>
  <c r="AB25" i="16"/>
  <c r="Y24" i="16"/>
  <c r="Z23" i="16"/>
  <c r="T184" i="16"/>
  <c r="U172" i="16"/>
  <c r="AA30" i="16"/>
  <c r="Z31" i="16"/>
  <c r="Z33" i="16" s="1"/>
  <c r="Z181" i="16"/>
  <c r="Z440" i="16"/>
  <c r="Y368" i="25"/>
  <c r="U262" i="16"/>
  <c r="V136" i="25"/>
  <c r="W136" i="25" s="1"/>
  <c r="V452" i="25"/>
  <c r="V453" i="25" s="1"/>
  <c r="V199" i="25"/>
  <c r="W199" i="25" s="1"/>
  <c r="U464" i="25"/>
  <c r="V420" i="16"/>
  <c r="V384" i="16"/>
  <c r="V139" i="16"/>
  <c r="V329" i="16"/>
  <c r="U169" i="16"/>
  <c r="AB252" i="25"/>
  <c r="Z362" i="25"/>
  <c r="Y160" i="25"/>
  <c r="Z409" i="16"/>
  <c r="T405" i="16"/>
  <c r="T406" i="16"/>
  <c r="Z178" i="16"/>
  <c r="Y256" i="25"/>
  <c r="Y487" i="25"/>
  <c r="Y119" i="25"/>
  <c r="Z393" i="25"/>
  <c r="Z183" i="16"/>
  <c r="J74" i="25"/>
  <c r="J72" i="25"/>
  <c r="U128" i="25"/>
  <c r="Y175" i="25"/>
  <c r="Y409" i="25"/>
  <c r="Y412" i="25" s="1"/>
  <c r="Y177" i="25"/>
  <c r="U126" i="25"/>
  <c r="L381" i="25"/>
  <c r="L383" i="25" s="1"/>
  <c r="L382" i="25"/>
  <c r="M395" i="25"/>
  <c r="U112" i="25"/>
  <c r="V424" i="25"/>
  <c r="W370" i="16"/>
  <c r="W380" i="16"/>
  <c r="W427" i="16"/>
  <c r="X368" i="16"/>
  <c r="W372" i="16"/>
  <c r="W348" i="16"/>
  <c r="W371" i="25"/>
  <c r="X86" i="25"/>
  <c r="Y180" i="25"/>
  <c r="T234" i="25"/>
  <c r="Z322" i="25"/>
  <c r="V260" i="16"/>
  <c r="V261" i="16"/>
  <c r="V259" i="16"/>
  <c r="V209" i="25"/>
  <c r="V408" i="25"/>
  <c r="V404" i="25" s="1"/>
  <c r="L383" i="16"/>
  <c r="V138" i="25"/>
  <c r="U265" i="25"/>
  <c r="V186" i="25"/>
  <c r="V13" i="25"/>
  <c r="V299" i="25"/>
  <c r="W11" i="25"/>
  <c r="W281" i="25" s="1"/>
  <c r="V302" i="25"/>
  <c r="V12" i="25"/>
  <c r="V296" i="25"/>
  <c r="V185" i="25"/>
  <c r="U140" i="25"/>
  <c r="V135" i="25"/>
  <c r="U126" i="16"/>
  <c r="U51" i="16"/>
  <c r="V341" i="16"/>
  <c r="U495" i="16"/>
  <c r="V400" i="16"/>
  <c r="V397" i="16"/>
  <c r="U494" i="16"/>
  <c r="V327" i="16"/>
  <c r="U330" i="16"/>
  <c r="V330" i="16" s="1"/>
  <c r="K448" i="16"/>
  <c r="K450" i="16" s="1"/>
  <c r="K408" i="27"/>
  <c r="K448" i="25"/>
  <c r="K450" i="25" s="1"/>
  <c r="L404" i="27"/>
  <c r="AB275" i="25"/>
  <c r="AA276" i="25"/>
  <c r="X197" i="25"/>
  <c r="AA35" i="25"/>
  <c r="Z36" i="25"/>
  <c r="AC251" i="16"/>
  <c r="AC250" i="16"/>
  <c r="AC252" i="16"/>
  <c r="V327" i="25"/>
  <c r="Y241" i="16"/>
  <c r="X43" i="16"/>
  <c r="AB17" i="16"/>
  <c r="AA18" i="16"/>
  <c r="I74" i="25"/>
  <c r="I72" i="25"/>
  <c r="Z26" i="20"/>
  <c r="AA23" i="20"/>
  <c r="O343" i="16"/>
  <c r="O345" i="16" s="1"/>
  <c r="P344" i="16"/>
  <c r="W357" i="25"/>
  <c r="V259" i="25"/>
  <c r="V262" i="25" s="1"/>
  <c r="V260" i="25"/>
  <c r="V261" i="25"/>
  <c r="X9" i="16"/>
  <c r="W10" i="16"/>
  <c r="Y336" i="16"/>
  <c r="X337" i="16"/>
  <c r="V86" i="16"/>
  <c r="W255" i="16"/>
  <c r="W258" i="16" s="1"/>
  <c r="X182" i="16"/>
  <c r="AB26" i="25"/>
  <c r="AC25" i="25"/>
  <c r="AC26" i="25" s="1"/>
  <c r="M382" i="16"/>
  <c r="N395" i="16"/>
  <c r="M381" i="16"/>
  <c r="U496" i="25"/>
  <c r="V433" i="25"/>
  <c r="W139" i="25"/>
  <c r="V400" i="25"/>
  <c r="U495" i="25"/>
  <c r="T466" i="25"/>
  <c r="T416" i="25"/>
  <c r="T64" i="25" s="1"/>
  <c r="X198" i="25"/>
  <c r="X199" i="25" s="1"/>
  <c r="Y440" i="25"/>
  <c r="X21" i="16"/>
  <c r="X22" i="16" s="1"/>
  <c r="X16" i="16"/>
  <c r="X19" i="16"/>
  <c r="Y15" i="16"/>
  <c r="Y173" i="16" s="1"/>
  <c r="W305" i="25"/>
  <c r="W307" i="25" s="1"/>
  <c r="W308" i="25" s="1"/>
  <c r="X147" i="25"/>
  <c r="AA316" i="16"/>
  <c r="Z321" i="16"/>
  <c r="U156" i="25"/>
  <c r="I34" i="15"/>
  <c r="H38" i="15"/>
  <c r="U265" i="16"/>
  <c r="V186" i="16"/>
  <c r="V138" i="16"/>
  <c r="U279" i="16"/>
  <c r="V155" i="16"/>
  <c r="U459" i="16"/>
  <c r="U350" i="16" s="1"/>
  <c r="V419" i="16"/>
  <c r="U422" i="16"/>
  <c r="V424" i="16"/>
  <c r="U112" i="16"/>
  <c r="Y487" i="16"/>
  <c r="Y256" i="16"/>
  <c r="Z393" i="16"/>
  <c r="Y119" i="16"/>
  <c r="L320" i="16"/>
  <c r="K321" i="16"/>
  <c r="U330" i="25"/>
  <c r="V330" i="25" s="1"/>
  <c r="U99" i="25"/>
  <c r="V169" i="25"/>
  <c r="R374" i="27"/>
  <c r="Q378" i="27"/>
  <c r="Z29" i="20"/>
  <c r="AA334" i="16"/>
  <c r="Z338" i="16"/>
  <c r="U202" i="16"/>
  <c r="W168" i="25"/>
  <c r="X182" i="25"/>
  <c r="W255" i="25"/>
  <c r="W258" i="25" s="1"/>
  <c r="U172" i="25"/>
  <c r="T184" i="25"/>
  <c r="AC272" i="25"/>
  <c r="AB273" i="25"/>
  <c r="Y229" i="16"/>
  <c r="Y173" i="25"/>
  <c r="T492" i="16"/>
  <c r="T352" i="16"/>
  <c r="W489" i="25"/>
  <c r="X437" i="25"/>
  <c r="W148" i="25"/>
  <c r="U279" i="25"/>
  <c r="T282" i="25"/>
  <c r="T280" i="25"/>
  <c r="T283" i="25" s="1"/>
  <c r="Y31" i="25"/>
  <c r="Y33" i="25" s="1"/>
  <c r="Z30" i="25"/>
  <c r="V146" i="25"/>
  <c r="U149" i="25"/>
  <c r="U51" i="25"/>
  <c r="V341" i="25"/>
  <c r="V384" i="25"/>
  <c r="W384" i="25" s="1"/>
  <c r="V152" i="25"/>
  <c r="W152" i="25" s="1"/>
  <c r="V155" i="25"/>
  <c r="U459" i="25"/>
  <c r="U350" i="25" s="1"/>
  <c r="Y15" i="25"/>
  <c r="X16" i="25"/>
  <c r="X19" i="25"/>
  <c r="X21" i="25"/>
  <c r="X22" i="25" s="1"/>
  <c r="X489" i="16"/>
  <c r="Y437" i="16"/>
  <c r="U140" i="16"/>
  <c r="V135" i="16"/>
  <c r="V238" i="16"/>
  <c r="U233" i="16"/>
  <c r="U496" i="16"/>
  <c r="V433" i="16"/>
  <c r="U490" i="16"/>
  <c r="V340" i="16"/>
  <c r="U453" i="16"/>
  <c r="V453" i="16" s="1"/>
  <c r="V299" i="16"/>
  <c r="V296" i="16"/>
  <c r="V13" i="16"/>
  <c r="V185" i="16"/>
  <c r="V302" i="16"/>
  <c r="W11" i="16"/>
  <c r="W357" i="16" s="1"/>
  <c r="V12" i="16"/>
  <c r="AC251" i="25"/>
  <c r="AC252" i="25" s="1"/>
  <c r="AC250" i="25"/>
  <c r="Y181" i="25"/>
  <c r="T497" i="16"/>
  <c r="L343" i="25"/>
  <c r="L345" i="25" s="1"/>
  <c r="L75" i="25" s="1"/>
  <c r="L78" i="25" s="1"/>
  <c r="L80" i="25" s="1"/>
  <c r="M344" i="25"/>
  <c r="Y323" i="25"/>
  <c r="X65" i="25"/>
  <c r="Y174" i="25"/>
  <c r="K383" i="25"/>
  <c r="Y24" i="25"/>
  <c r="Z23" i="25"/>
  <c r="Y178" i="25"/>
  <c r="X91" i="25"/>
  <c r="Y427" i="25"/>
  <c r="Z368" i="25"/>
  <c r="Y370" i="25"/>
  <c r="Y380" i="25"/>
  <c r="Y372" i="25"/>
  <c r="Y348" i="25"/>
  <c r="N320" i="25"/>
  <c r="M321" i="25"/>
  <c r="T472" i="25"/>
  <c r="T482" i="25"/>
  <c r="W420" i="25"/>
  <c r="Y439" i="25"/>
  <c r="AB25" i="20"/>
  <c r="P341" i="27"/>
  <c r="Q340" i="27"/>
  <c r="P319" i="27"/>
  <c r="T291" i="16"/>
  <c r="V91" i="16"/>
  <c r="W10" i="25"/>
  <c r="X9" i="25"/>
  <c r="X160" i="16"/>
  <c r="Y362" i="16"/>
  <c r="Y287" i="25"/>
  <c r="M395" i="27"/>
  <c r="L376" i="16"/>
  <c r="L376" i="25"/>
  <c r="W337" i="25"/>
  <c r="X336" i="25"/>
  <c r="AC314" i="25"/>
  <c r="Z18" i="25"/>
  <c r="AA17" i="25"/>
  <c r="Y179" i="25"/>
  <c r="U490" i="25"/>
  <c r="V340" i="25"/>
  <c r="U422" i="25"/>
  <c r="V419" i="25"/>
  <c r="U401" i="25"/>
  <c r="T127" i="25"/>
  <c r="W421" i="25"/>
  <c r="V397" i="25"/>
  <c r="V398" i="25" s="1"/>
  <c r="U494" i="25"/>
  <c r="Y147" i="16"/>
  <c r="X305" i="16"/>
  <c r="X307" i="16" s="1"/>
  <c r="X308" i="16" s="1"/>
  <c r="Y11" i="4"/>
  <c r="Z10" i="4"/>
  <c r="X266" i="16"/>
  <c r="Y364" i="16"/>
  <c r="K386" i="16"/>
  <c r="K62" i="16" s="1"/>
  <c r="K66" i="16" s="1"/>
  <c r="K70" i="16" s="1"/>
  <c r="K385" i="16"/>
  <c r="K75" i="16"/>
  <c r="K78" i="16" s="1"/>
  <c r="K80" i="16" s="1"/>
  <c r="M407" i="27"/>
  <c r="L449" i="16"/>
  <c r="L449" i="25"/>
  <c r="T457" i="25"/>
  <c r="T153" i="25"/>
  <c r="T142" i="25"/>
  <c r="T39" i="25"/>
  <c r="AB35" i="16"/>
  <c r="AA36" i="16"/>
  <c r="W141" i="16"/>
  <c r="V434" i="16"/>
  <c r="U128" i="16"/>
  <c r="W152" i="16"/>
  <c r="W281" i="16"/>
  <c r="V156" i="16"/>
  <c r="U149" i="16"/>
  <c r="V146" i="16"/>
  <c r="V401" i="16"/>
  <c r="U127" i="16"/>
  <c r="U99" i="16"/>
  <c r="U97" i="16" s="1"/>
  <c r="V169" i="16"/>
  <c r="Y183" i="25"/>
  <c r="L397" i="27"/>
  <c r="K375" i="25"/>
  <c r="K377" i="25" s="1"/>
  <c r="K375" i="16"/>
  <c r="K377" i="16" s="1"/>
  <c r="K75" i="25"/>
  <c r="K78" i="25" s="1"/>
  <c r="K80" i="25" s="1"/>
  <c r="T411" i="25"/>
  <c r="Z197" i="16" l="1"/>
  <c r="Z24" i="16"/>
  <c r="AA23" i="16"/>
  <c r="AA43" i="25"/>
  <c r="AB241" i="25"/>
  <c r="AB30" i="16"/>
  <c r="AA31" i="16"/>
  <c r="AA33" i="16" s="1"/>
  <c r="Z266" i="25"/>
  <c r="AA364" i="25"/>
  <c r="AA175" i="16"/>
  <c r="T110" i="16"/>
  <c r="T64" i="16"/>
  <c r="W429" i="16"/>
  <c r="W238" i="25"/>
  <c r="W329" i="25"/>
  <c r="AC273" i="25"/>
  <c r="W452" i="25"/>
  <c r="V262" i="16"/>
  <c r="AA393" i="25"/>
  <c r="Z487" i="25"/>
  <c r="Z119" i="25"/>
  <c r="Z256" i="25"/>
  <c r="V172" i="16"/>
  <c r="U184" i="16"/>
  <c r="AB26" i="16"/>
  <c r="AC25" i="16"/>
  <c r="AC26" i="16" s="1"/>
  <c r="W137" i="25"/>
  <c r="U97" i="25"/>
  <c r="T407" i="16"/>
  <c r="T63" i="16" s="1"/>
  <c r="T49" i="16"/>
  <c r="T46" i="16"/>
  <c r="T71" i="16"/>
  <c r="AA365" i="25"/>
  <c r="Z160" i="25"/>
  <c r="AA362" i="25"/>
  <c r="T187" i="16"/>
  <c r="T189" i="16"/>
  <c r="T191" i="16" s="1"/>
  <c r="T194" i="16" s="1"/>
  <c r="AA29" i="16"/>
  <c r="V126" i="25"/>
  <c r="U411" i="25"/>
  <c r="T406" i="25"/>
  <c r="T405" i="25"/>
  <c r="L375" i="25"/>
  <c r="L377" i="25" s="1"/>
  <c r="M397" i="27"/>
  <c r="L375" i="16"/>
  <c r="L377" i="16" s="1"/>
  <c r="V99" i="16"/>
  <c r="V97" i="16" s="1"/>
  <c r="V127" i="16"/>
  <c r="V128" i="16"/>
  <c r="AC35" i="16"/>
  <c r="AC36" i="16" s="1"/>
  <c r="AB36" i="16"/>
  <c r="T96" i="25"/>
  <c r="M449" i="25"/>
  <c r="M449" i="16"/>
  <c r="N407" i="27"/>
  <c r="Z11" i="4"/>
  <c r="AA10" i="4"/>
  <c r="W340" i="25"/>
  <c r="V490" i="25"/>
  <c r="Y336" i="25"/>
  <c r="X337" i="25"/>
  <c r="Q341" i="27"/>
  <c r="R340" i="27"/>
  <c r="Q319" i="27"/>
  <c r="Y91" i="25"/>
  <c r="K386" i="25"/>
  <c r="K62" i="25" s="1"/>
  <c r="K66" i="25" s="1"/>
  <c r="K70" i="25" s="1"/>
  <c r="K385" i="25"/>
  <c r="U234" i="16"/>
  <c r="V233" i="16" s="1"/>
  <c r="U39" i="16"/>
  <c r="U142" i="16"/>
  <c r="V459" i="25"/>
  <c r="V350" i="25" s="1"/>
  <c r="W155" i="25"/>
  <c r="AA30" i="25"/>
  <c r="Z31" i="25"/>
  <c r="Z33" i="25" s="1"/>
  <c r="Y437" i="25"/>
  <c r="X489" i="25"/>
  <c r="Y182" i="25"/>
  <c r="X255" i="25"/>
  <c r="X258" i="25" s="1"/>
  <c r="R378" i="27"/>
  <c r="S374" i="27"/>
  <c r="S378" i="27" s="1"/>
  <c r="U482" i="16"/>
  <c r="U472" i="16"/>
  <c r="V459" i="16"/>
  <c r="V350" i="16" s="1"/>
  <c r="W155" i="16"/>
  <c r="W156" i="16" s="1"/>
  <c r="W452" i="16"/>
  <c r="W433" i="25"/>
  <c r="V496" i="25"/>
  <c r="W259" i="16"/>
  <c r="W260" i="16"/>
  <c r="W261" i="16"/>
  <c r="Z241" i="16"/>
  <c r="Y43" i="16"/>
  <c r="AA36" i="25"/>
  <c r="AB35" i="25"/>
  <c r="L448" i="25"/>
  <c r="L450" i="25" s="1"/>
  <c r="M404" i="27"/>
  <c r="L448" i="16"/>
  <c r="L450" i="16" s="1"/>
  <c r="L408" i="27"/>
  <c r="V494" i="16"/>
  <c r="W397" i="16"/>
  <c r="W421" i="16"/>
  <c r="V286" i="25"/>
  <c r="V288" i="25" s="1"/>
  <c r="V289" i="25" s="1"/>
  <c r="V292" i="25" s="1"/>
  <c r="W185" i="25"/>
  <c r="W12" i="25"/>
  <c r="W296" i="25"/>
  <c r="W302" i="25"/>
  <c r="W13" i="25"/>
  <c r="X11" i="25"/>
  <c r="X357" i="25" s="1"/>
  <c r="W299" i="25"/>
  <c r="L386" i="16"/>
  <c r="L62" i="16" s="1"/>
  <c r="L66" i="16" s="1"/>
  <c r="L70" i="16" s="1"/>
  <c r="L385" i="16"/>
  <c r="L75" i="16"/>
  <c r="L78" i="16" s="1"/>
  <c r="L80" i="16" s="1"/>
  <c r="T218" i="25"/>
  <c r="T204" i="25"/>
  <c r="W453" i="25"/>
  <c r="W424" i="25"/>
  <c r="V112" i="25"/>
  <c r="W146" i="16"/>
  <c r="V149" i="16"/>
  <c r="V401" i="25"/>
  <c r="U127" i="25"/>
  <c r="N395" i="27"/>
  <c r="M376" i="16"/>
  <c r="M376" i="25"/>
  <c r="X10" i="25"/>
  <c r="Y9" i="25"/>
  <c r="T217" i="16"/>
  <c r="T203" i="16"/>
  <c r="Z370" i="25"/>
  <c r="Z372" i="25"/>
  <c r="Z348" i="25"/>
  <c r="Z427" i="25"/>
  <c r="Z380" i="25"/>
  <c r="AA368" i="25"/>
  <c r="W185" i="16"/>
  <c r="V286" i="16"/>
  <c r="V288" i="16" s="1"/>
  <c r="V289" i="16" s="1"/>
  <c r="V292" i="16" s="1"/>
  <c r="W453" i="16"/>
  <c r="W433" i="16"/>
  <c r="V496" i="16"/>
  <c r="W238" i="16"/>
  <c r="W420" i="16"/>
  <c r="Z437" i="16"/>
  <c r="Y489" i="16"/>
  <c r="U153" i="25"/>
  <c r="U457" i="25"/>
  <c r="U280" i="25"/>
  <c r="U283" i="25" s="1"/>
  <c r="U282" i="25"/>
  <c r="V279" i="25"/>
  <c r="Z229" i="16"/>
  <c r="T189" i="25"/>
  <c r="T191" i="25" s="1"/>
  <c r="T187" i="25"/>
  <c r="AB334" i="16"/>
  <c r="AA338" i="16"/>
  <c r="V99" i="25"/>
  <c r="W169" i="25"/>
  <c r="V422" i="16"/>
  <c r="W419" i="16"/>
  <c r="U282" i="16"/>
  <c r="U280" i="16"/>
  <c r="V279" i="16"/>
  <c r="W137" i="16"/>
  <c r="AB316" i="16"/>
  <c r="AA321" i="16"/>
  <c r="Y16" i="16"/>
  <c r="Y19" i="16"/>
  <c r="Y21" i="16"/>
  <c r="Y22" i="16" s="1"/>
  <c r="Z15" i="16"/>
  <c r="Z173" i="16" s="1"/>
  <c r="V371" i="16"/>
  <c r="W86" i="16"/>
  <c r="X452" i="25"/>
  <c r="AA26" i="20"/>
  <c r="AA29" i="20" s="1"/>
  <c r="AB23" i="20"/>
  <c r="V331" i="25"/>
  <c r="V48" i="25" s="1"/>
  <c r="W327" i="25"/>
  <c r="Y197" i="25"/>
  <c r="V331" i="16"/>
  <c r="V48" i="16" s="1"/>
  <c r="W327" i="16"/>
  <c r="W330" i="16" s="1"/>
  <c r="W400" i="16"/>
  <c r="W401" i="16" s="1"/>
  <c r="V495" i="16"/>
  <c r="W151" i="16"/>
  <c r="V464" i="25"/>
  <c r="AC320" i="25"/>
  <c r="AC321" i="25" s="1"/>
  <c r="AA322" i="25"/>
  <c r="AB322" i="25" s="1"/>
  <c r="AC322" i="25" s="1"/>
  <c r="Z320" i="25"/>
  <c r="Z321" i="25" s="1"/>
  <c r="Z323" i="25" s="1"/>
  <c r="AA320" i="25"/>
  <c r="AA321" i="25" s="1"/>
  <c r="W91" i="16"/>
  <c r="W151" i="25"/>
  <c r="U472" i="25"/>
  <c r="U482" i="25"/>
  <c r="N395" i="25"/>
  <c r="M382" i="25"/>
  <c r="M381" i="25"/>
  <c r="Z29" i="25"/>
  <c r="AA29" i="25" s="1"/>
  <c r="U457" i="16"/>
  <c r="U153" i="16"/>
  <c r="Z364" i="16"/>
  <c r="Y266" i="16"/>
  <c r="V494" i="25"/>
  <c r="W397" i="25"/>
  <c r="W419" i="25"/>
  <c r="V422" i="25"/>
  <c r="AA18" i="25"/>
  <c r="AB17" i="25"/>
  <c r="Y199" i="25"/>
  <c r="X238" i="25"/>
  <c r="Z287" i="25"/>
  <c r="T293" i="16"/>
  <c r="X420" i="25"/>
  <c r="AA23" i="25"/>
  <c r="Z24" i="25"/>
  <c r="Y65" i="25"/>
  <c r="W329" i="16"/>
  <c r="W384" i="16"/>
  <c r="Y16" i="25"/>
  <c r="Y19" i="25"/>
  <c r="Y21" i="25"/>
  <c r="Y22" i="25" s="1"/>
  <c r="Z15" i="25"/>
  <c r="W146" i="25"/>
  <c r="V149" i="25"/>
  <c r="V172" i="25"/>
  <c r="U184" i="25"/>
  <c r="X168" i="25"/>
  <c r="AA393" i="16"/>
  <c r="Z487" i="16"/>
  <c r="Z119" i="16"/>
  <c r="Z256" i="16"/>
  <c r="U415" i="16"/>
  <c r="W136" i="16"/>
  <c r="V156" i="25"/>
  <c r="W156" i="25" s="1"/>
  <c r="X305" i="25"/>
  <c r="X307" i="25" s="1"/>
  <c r="X308" i="25" s="1"/>
  <c r="Y147" i="25"/>
  <c r="Y198" i="25"/>
  <c r="V495" i="25"/>
  <c r="W400" i="25"/>
  <c r="M383" i="16"/>
  <c r="AB18" i="16"/>
  <c r="AC17" i="16"/>
  <c r="AC18" i="16" s="1"/>
  <c r="U331" i="25"/>
  <c r="U48" i="25" s="1"/>
  <c r="U331" i="16"/>
  <c r="U48" i="16" s="1"/>
  <c r="V140" i="25"/>
  <c r="W135" i="25"/>
  <c r="U415" i="25"/>
  <c r="U466" i="25" s="1"/>
  <c r="AB320" i="25"/>
  <c r="AB321" i="25" s="1"/>
  <c r="T236" i="25"/>
  <c r="X371" i="25"/>
  <c r="Y86" i="25"/>
  <c r="Y368" i="16"/>
  <c r="X380" i="16"/>
  <c r="X427" i="16"/>
  <c r="X370" i="16"/>
  <c r="X348" i="16"/>
  <c r="X372" i="16"/>
  <c r="T456" i="25"/>
  <c r="T428" i="25"/>
  <c r="T267" i="25"/>
  <c r="K74" i="16"/>
  <c r="K72" i="16"/>
  <c r="Y305" i="16"/>
  <c r="Y307" i="16" s="1"/>
  <c r="Y308" i="16" s="1"/>
  <c r="Z147" i="16"/>
  <c r="Y160" i="16"/>
  <c r="Z362" i="16"/>
  <c r="AC25" i="20"/>
  <c r="O320" i="25"/>
  <c r="N321" i="25"/>
  <c r="M343" i="25"/>
  <c r="M345" i="25" s="1"/>
  <c r="N344" i="25"/>
  <c r="X11" i="16"/>
  <c r="X141" i="16" s="1"/>
  <c r="W296" i="16"/>
  <c r="W12" i="16"/>
  <c r="W302" i="16"/>
  <c r="W13" i="16"/>
  <c r="W299" i="16"/>
  <c r="W340" i="16"/>
  <c r="V490" i="16"/>
  <c r="W139" i="16"/>
  <c r="X139" i="16" s="1"/>
  <c r="V140" i="16"/>
  <c r="W135" i="16"/>
  <c r="V51" i="25"/>
  <c r="W341" i="25"/>
  <c r="X329" i="25"/>
  <c r="T124" i="16"/>
  <c r="W261" i="25"/>
  <c r="W259" i="25"/>
  <c r="W262" i="25" s="1"/>
  <c r="W260" i="25"/>
  <c r="W330" i="25"/>
  <c r="M320" i="16"/>
  <c r="L321" i="16"/>
  <c r="W148" i="16"/>
  <c r="V112" i="16"/>
  <c r="W424" i="16"/>
  <c r="W138" i="16"/>
  <c r="X138" i="16" s="1"/>
  <c r="V265" i="16"/>
  <c r="W186" i="16"/>
  <c r="I35" i="15"/>
  <c r="I37" i="15"/>
  <c r="I38" i="15" s="1"/>
  <c r="U416" i="25"/>
  <c r="T110" i="25"/>
  <c r="X139" i="25"/>
  <c r="N382" i="16"/>
  <c r="N381" i="16"/>
  <c r="O395" i="16"/>
  <c r="Y182" i="16"/>
  <c r="X255" i="16"/>
  <c r="X258" i="16" s="1"/>
  <c r="Z336" i="16"/>
  <c r="Y337" i="16"/>
  <c r="Y9" i="16"/>
  <c r="X10" i="16"/>
  <c r="Q344" i="16"/>
  <c r="P343" i="16"/>
  <c r="P345" i="16" s="1"/>
  <c r="Z365" i="16"/>
  <c r="AA365" i="16" s="1"/>
  <c r="AC275" i="25"/>
  <c r="AB276" i="25"/>
  <c r="W341" i="16"/>
  <c r="V51" i="16"/>
  <c r="W168" i="16"/>
  <c r="W169" i="16" s="1"/>
  <c r="V398" i="16"/>
  <c r="U39" i="25"/>
  <c r="U142" i="25"/>
  <c r="W186" i="25"/>
  <c r="V265" i="25"/>
  <c r="V415" i="25"/>
  <c r="V466" i="25" s="1"/>
  <c r="W138" i="25"/>
  <c r="W410" i="25"/>
  <c r="U233" i="25"/>
  <c r="W429" i="25"/>
  <c r="X429" i="25" s="1"/>
  <c r="L386" i="25"/>
  <c r="L62" i="25" s="1"/>
  <c r="L66" i="25" s="1"/>
  <c r="L70" i="25" s="1"/>
  <c r="L385" i="25"/>
  <c r="U64" i="25"/>
  <c r="V434" i="25"/>
  <c r="W172" i="16" l="1"/>
  <c r="V184" i="16"/>
  <c r="AC30" i="16"/>
  <c r="AC31" i="16" s="1"/>
  <c r="AB31" i="16"/>
  <c r="AB33" i="16" s="1"/>
  <c r="AC33" i="16" s="1"/>
  <c r="Z409" i="25"/>
  <c r="AA409" i="25" s="1"/>
  <c r="U283" i="16"/>
  <c r="AB29" i="16"/>
  <c r="AA178" i="16"/>
  <c r="AA180" i="16"/>
  <c r="AA177" i="16"/>
  <c r="AA179" i="16"/>
  <c r="AB179" i="16" s="1"/>
  <c r="AA119" i="25"/>
  <c r="AA487" i="25"/>
  <c r="AA256" i="25"/>
  <c r="AB393" i="25"/>
  <c r="T188" i="16"/>
  <c r="T460" i="16" s="1"/>
  <c r="T101" i="16"/>
  <c r="AA181" i="16"/>
  <c r="AB181" i="16" s="1"/>
  <c r="AB365" i="25"/>
  <c r="AA266" i="25"/>
  <c r="AB364" i="25"/>
  <c r="AA440" i="16"/>
  <c r="AB440" i="16" s="1"/>
  <c r="AA197" i="16"/>
  <c r="X137" i="25"/>
  <c r="T349" i="25"/>
  <c r="Z177" i="25"/>
  <c r="AA177" i="25" s="1"/>
  <c r="X136" i="25"/>
  <c r="X384" i="25"/>
  <c r="X151" i="25"/>
  <c r="X281" i="25"/>
  <c r="U236" i="16"/>
  <c r="Z198" i="16"/>
  <c r="AB362" i="25"/>
  <c r="AA160" i="25"/>
  <c r="T114" i="16"/>
  <c r="T431" i="16" s="1"/>
  <c r="T129" i="16" s="1"/>
  <c r="T122" i="16"/>
  <c r="AA409" i="16"/>
  <c r="AA412" i="16"/>
  <c r="AC241" i="25"/>
  <c r="AC43" i="25" s="1"/>
  <c r="AB43" i="25"/>
  <c r="X421" i="25"/>
  <c r="X148" i="25"/>
  <c r="Z173" i="25"/>
  <c r="X152" i="25"/>
  <c r="X141" i="25"/>
  <c r="W262" i="16"/>
  <c r="AA439" i="16"/>
  <c r="T106" i="16"/>
  <c r="T50" i="16"/>
  <c r="U189" i="16"/>
  <c r="U191" i="16" s="1"/>
  <c r="U194" i="16" s="1"/>
  <c r="U187" i="16"/>
  <c r="AA174" i="16"/>
  <c r="AA24" i="16"/>
  <c r="AB23" i="16"/>
  <c r="AA183" i="16"/>
  <c r="W99" i="16"/>
  <c r="W127" i="16"/>
  <c r="Z65" i="25"/>
  <c r="AA323" i="25"/>
  <c r="T351" i="25"/>
  <c r="AA33" i="25"/>
  <c r="Z197" i="25"/>
  <c r="AB26" i="20"/>
  <c r="AB29" i="20" s="1"/>
  <c r="AC23" i="20"/>
  <c r="AC26" i="20" s="1"/>
  <c r="Z440" i="25"/>
  <c r="AA440" i="25" s="1"/>
  <c r="V280" i="16"/>
  <c r="V282" i="16"/>
  <c r="W279" i="16"/>
  <c r="V283" i="16"/>
  <c r="X419" i="16"/>
  <c r="W422" i="16"/>
  <c r="X238" i="16"/>
  <c r="AA372" i="25"/>
  <c r="AA348" i="25"/>
  <c r="AA380" i="25"/>
  <c r="AA370" i="25"/>
  <c r="AB368" i="25"/>
  <c r="AA427" i="25"/>
  <c r="Z179" i="25"/>
  <c r="AA179" i="25" s="1"/>
  <c r="Z183" i="25"/>
  <c r="AA183" i="25" s="1"/>
  <c r="X453" i="25"/>
  <c r="W496" i="25"/>
  <c r="X433" i="25"/>
  <c r="X155" i="16"/>
  <c r="W459" i="16"/>
  <c r="W350" i="16" s="1"/>
  <c r="U267" i="16"/>
  <c r="U428" i="16"/>
  <c r="U456" i="16"/>
  <c r="U349" i="16" s="1"/>
  <c r="K74" i="25"/>
  <c r="K72" i="25"/>
  <c r="Z439" i="25"/>
  <c r="AA439" i="25" s="1"/>
  <c r="W490" i="25"/>
  <c r="X340" i="25"/>
  <c r="T49" i="25"/>
  <c r="T46" i="25"/>
  <c r="T71" i="25"/>
  <c r="X341" i="25"/>
  <c r="W51" i="25"/>
  <c r="X296" i="16"/>
  <c r="X13" i="16"/>
  <c r="X302" i="16"/>
  <c r="X12" i="16"/>
  <c r="X299" i="16"/>
  <c r="Y11" i="16"/>
  <c r="Y139" i="16" s="1"/>
  <c r="AB393" i="16"/>
  <c r="AA487" i="16"/>
  <c r="AA256" i="16"/>
  <c r="AA119" i="16"/>
  <c r="X384" i="16"/>
  <c r="Z266" i="16"/>
  <c r="AA364" i="16"/>
  <c r="N382" i="25"/>
  <c r="O395" i="25"/>
  <c r="N381" i="25"/>
  <c r="V128" i="25"/>
  <c r="W434" i="25"/>
  <c r="V97" i="25"/>
  <c r="X341" i="16"/>
  <c r="W51" i="16"/>
  <c r="Z9" i="16"/>
  <c r="Y10" i="16"/>
  <c r="Y255" i="16"/>
  <c r="Y258" i="16" s="1"/>
  <c r="Z182" i="16"/>
  <c r="W112" i="16"/>
  <c r="X424" i="16"/>
  <c r="X148" i="16"/>
  <c r="Y148" i="16" s="1"/>
  <c r="N343" i="25"/>
  <c r="N345" i="25" s="1"/>
  <c r="O344" i="25"/>
  <c r="O321" i="25"/>
  <c r="P320" i="25"/>
  <c r="AA147" i="16"/>
  <c r="Z305" i="16"/>
  <c r="Z307" i="16" s="1"/>
  <c r="Z308" i="16" s="1"/>
  <c r="T216" i="25"/>
  <c r="T269" i="25"/>
  <c r="T270" i="25" s="1"/>
  <c r="Y372" i="16"/>
  <c r="Z368" i="16"/>
  <c r="Y427" i="16"/>
  <c r="Y380" i="16"/>
  <c r="Y370" i="16"/>
  <c r="Y348" i="16"/>
  <c r="V153" i="25"/>
  <c r="V457" i="25"/>
  <c r="X329" i="16"/>
  <c r="AB18" i="25"/>
  <c r="AC17" i="25"/>
  <c r="AC18" i="25" s="1"/>
  <c r="X397" i="25"/>
  <c r="W494" i="25"/>
  <c r="W495" i="16"/>
  <c r="X400" i="16"/>
  <c r="Z19" i="16"/>
  <c r="Z21" i="16"/>
  <c r="Z22" i="16" s="1"/>
  <c r="AA15" i="16"/>
  <c r="Z16" i="16"/>
  <c r="X185" i="16"/>
  <c r="W286" i="16"/>
  <c r="W288" i="16" s="1"/>
  <c r="W289" i="16" s="1"/>
  <c r="W292" i="16" s="1"/>
  <c r="Z174" i="25"/>
  <c r="AA174" i="25" s="1"/>
  <c r="Z91" i="25"/>
  <c r="X152" i="16"/>
  <c r="Y152" i="16" s="1"/>
  <c r="Z175" i="25"/>
  <c r="AA175" i="25" s="1"/>
  <c r="V482" i="25"/>
  <c r="V472" i="25"/>
  <c r="X421" i="16"/>
  <c r="Y421" i="16" s="1"/>
  <c r="AC35" i="25"/>
  <c r="AC36" i="25" s="1"/>
  <c r="AB36" i="25"/>
  <c r="Z412" i="25"/>
  <c r="AA412" i="25" s="1"/>
  <c r="AB30" i="25"/>
  <c r="AB29" i="25" s="1"/>
  <c r="AA31" i="25"/>
  <c r="W233" i="16"/>
  <c r="V234" i="16"/>
  <c r="V236" i="16" s="1"/>
  <c r="AB10" i="4"/>
  <c r="AA11" i="4"/>
  <c r="O407" i="27"/>
  <c r="N449" i="25"/>
  <c r="N449" i="16"/>
  <c r="M375" i="16"/>
  <c r="M377" i="16" s="1"/>
  <c r="M375" i="25"/>
  <c r="M377" i="25" s="1"/>
  <c r="N397" i="27"/>
  <c r="V411" i="25"/>
  <c r="W398" i="25"/>
  <c r="X138" i="25"/>
  <c r="U267" i="25"/>
  <c r="U269" i="25" s="1"/>
  <c r="V39" i="25"/>
  <c r="V142" i="25"/>
  <c r="X400" i="25"/>
  <c r="W495" i="25"/>
  <c r="L74" i="25"/>
  <c r="L72" i="25"/>
  <c r="U234" i="25"/>
  <c r="U236" i="25" s="1"/>
  <c r="V233" i="25"/>
  <c r="V126" i="16"/>
  <c r="W398" i="16"/>
  <c r="P395" i="16"/>
  <c r="O381" i="16"/>
  <c r="O383" i="16" s="1"/>
  <c r="O382" i="16"/>
  <c r="W265" i="16"/>
  <c r="X186" i="16"/>
  <c r="Y329" i="25"/>
  <c r="X135" i="16"/>
  <c r="W140" i="16"/>
  <c r="W490" i="16"/>
  <c r="X340" i="16"/>
  <c r="AC29" i="20"/>
  <c r="X156" i="16"/>
  <c r="X91" i="16"/>
  <c r="Z86" i="25"/>
  <c r="Y371" i="25"/>
  <c r="Z198" i="25"/>
  <c r="X136" i="16"/>
  <c r="Y136" i="16" s="1"/>
  <c r="U189" i="25"/>
  <c r="U191" i="25" s="1"/>
  <c r="U187" i="25"/>
  <c r="X146" i="25"/>
  <c r="W149" i="25"/>
  <c r="Z181" i="25"/>
  <c r="AA181" i="25" s="1"/>
  <c r="AA287" i="25"/>
  <c r="U96" i="16"/>
  <c r="M383" i="25"/>
  <c r="X327" i="16"/>
  <c r="X330" i="16" s="1"/>
  <c r="W331" i="16"/>
  <c r="W48" i="16" s="1"/>
  <c r="X327" i="25"/>
  <c r="W331" i="25"/>
  <c r="W48" i="25" s="1"/>
  <c r="X86" i="16"/>
  <c r="W371" i="16"/>
  <c r="AC316" i="16"/>
  <c r="AC321" i="16" s="1"/>
  <c r="AB321" i="16"/>
  <c r="X169" i="25"/>
  <c r="W99" i="25"/>
  <c r="AB338" i="16"/>
  <c r="AC334" i="16"/>
  <c r="T101" i="25"/>
  <c r="T188" i="25"/>
  <c r="W279" i="25"/>
  <c r="V282" i="25"/>
  <c r="V280" i="25"/>
  <c r="V283" i="25" s="1"/>
  <c r="U96" i="25"/>
  <c r="AA437" i="16"/>
  <c r="Z489" i="16"/>
  <c r="W496" i="16"/>
  <c r="X433" i="16"/>
  <c r="Z178" i="25"/>
  <c r="AA178" i="25" s="1"/>
  <c r="Z9" i="25"/>
  <c r="Y10" i="25"/>
  <c r="N376" i="25"/>
  <c r="N376" i="16"/>
  <c r="O395" i="27"/>
  <c r="V127" i="25"/>
  <c r="W401" i="25"/>
  <c r="V457" i="16"/>
  <c r="V153" i="16"/>
  <c r="X299" i="25"/>
  <c r="X13" i="25"/>
  <c r="Y11" i="25"/>
  <c r="Y139" i="25" s="1"/>
  <c r="X302" i="25"/>
  <c r="X296" i="25"/>
  <c r="X12" i="25"/>
  <c r="X397" i="16"/>
  <c r="W494" i="16"/>
  <c r="Z43" i="16"/>
  <c r="AA241" i="16"/>
  <c r="X260" i="25"/>
  <c r="X261" i="25"/>
  <c r="X259" i="25"/>
  <c r="W459" i="25"/>
  <c r="W350" i="25" s="1"/>
  <c r="X155" i="25"/>
  <c r="X156" i="25" s="1"/>
  <c r="U204" i="16"/>
  <c r="R319" i="27"/>
  <c r="R341" i="27"/>
  <c r="S340" i="27"/>
  <c r="Z336" i="25"/>
  <c r="Y337" i="25"/>
  <c r="W434" i="16"/>
  <c r="X260" i="16"/>
  <c r="X261" i="16"/>
  <c r="X259" i="16"/>
  <c r="AA362" i="16"/>
  <c r="Z160" i="16"/>
  <c r="T95" i="25"/>
  <c r="U456" i="25"/>
  <c r="AA15" i="25"/>
  <c r="Z16" i="25"/>
  <c r="Z19" i="25"/>
  <c r="Z21" i="25"/>
  <c r="Z22" i="25" s="1"/>
  <c r="AB23" i="25"/>
  <c r="AA24" i="25"/>
  <c r="Z199" i="25"/>
  <c r="W422" i="25"/>
  <c r="X419" i="25"/>
  <c r="X429" i="16"/>
  <c r="Y429" i="16" s="1"/>
  <c r="Y151" i="25"/>
  <c r="W209" i="25"/>
  <c r="W408" i="25"/>
  <c r="W404" i="25" s="1"/>
  <c r="W265" i="25"/>
  <c r="X186" i="25"/>
  <c r="X168" i="16"/>
  <c r="Y168" i="16" s="1"/>
  <c r="AC276" i="25"/>
  <c r="Q343" i="16"/>
  <c r="R344" i="16"/>
  <c r="AA336" i="16"/>
  <c r="Z337" i="16"/>
  <c r="N383" i="16"/>
  <c r="V416" i="25"/>
  <c r="V64" i="25" s="1"/>
  <c r="U110" i="25"/>
  <c r="V482" i="16"/>
  <c r="V472" i="16"/>
  <c r="N320" i="16"/>
  <c r="M321" i="16"/>
  <c r="V142" i="16"/>
  <c r="V39" i="16"/>
  <c r="U428" i="25"/>
  <c r="T430" i="25"/>
  <c r="X135" i="25"/>
  <c r="W140" i="25"/>
  <c r="M386" i="16"/>
  <c r="M62" i="16" s="1"/>
  <c r="M66" i="16" s="1"/>
  <c r="M70" i="16" s="1"/>
  <c r="M385" i="16"/>
  <c r="M75" i="16"/>
  <c r="M78" i="16" s="1"/>
  <c r="M80" i="16" s="1"/>
  <c r="Y305" i="25"/>
  <c r="Y307" i="25" s="1"/>
  <c r="Y308" i="25" s="1"/>
  <c r="Z147" i="25"/>
  <c r="U466" i="16"/>
  <c r="V415" i="16"/>
  <c r="U416" i="16"/>
  <c r="W172" i="25"/>
  <c r="V184" i="25"/>
  <c r="Y384" i="25"/>
  <c r="T219" i="16"/>
  <c r="T220" i="16" s="1"/>
  <c r="T205" i="16"/>
  <c r="T206" i="16" s="1"/>
  <c r="Y238" i="25"/>
  <c r="X151" i="16"/>
  <c r="Y151" i="16" s="1"/>
  <c r="X137" i="16"/>
  <c r="Y137" i="16" s="1"/>
  <c r="T194" i="25"/>
  <c r="AA229" i="16"/>
  <c r="Y152" i="25"/>
  <c r="X420" i="16"/>
  <c r="Y420" i="16" s="1"/>
  <c r="Y141" i="25"/>
  <c r="X146" i="16"/>
  <c r="W149" i="16"/>
  <c r="W112" i="25"/>
  <c r="X424" i="25"/>
  <c r="Z180" i="25"/>
  <c r="AA180" i="25" s="1"/>
  <c r="L74" i="16"/>
  <c r="L72" i="16"/>
  <c r="W286" i="25"/>
  <c r="W288" i="25" s="1"/>
  <c r="W289" i="25" s="1"/>
  <c r="W292" i="25" s="1"/>
  <c r="X185" i="25"/>
  <c r="M448" i="16"/>
  <c r="M450" i="16" s="1"/>
  <c r="M408" i="27"/>
  <c r="N404" i="27"/>
  <c r="M448" i="25"/>
  <c r="M450" i="25" s="1"/>
  <c r="X452" i="16"/>
  <c r="Y452" i="16" s="1"/>
  <c r="Z182" i="25"/>
  <c r="Y255" i="25"/>
  <c r="Y258" i="25" s="1"/>
  <c r="Y489" i="25"/>
  <c r="Z437" i="25"/>
  <c r="X281" i="16"/>
  <c r="Y281" i="16" s="1"/>
  <c r="T407" i="25"/>
  <c r="U413" i="25"/>
  <c r="U405" i="25" s="1"/>
  <c r="X357" i="16"/>
  <c r="Y357" i="16" s="1"/>
  <c r="AB119" i="25" l="1"/>
  <c r="AB487" i="25"/>
  <c r="AB256" i="25"/>
  <c r="AC393" i="25"/>
  <c r="AC29" i="16"/>
  <c r="AC440" i="16" s="1"/>
  <c r="X262" i="16"/>
  <c r="AB174" i="16"/>
  <c r="AB409" i="16"/>
  <c r="AC409" i="16" s="1"/>
  <c r="AC362" i="25"/>
  <c r="AC160" i="25" s="1"/>
  <c r="AB160" i="25"/>
  <c r="AB266" i="25"/>
  <c r="AC364" i="25"/>
  <c r="AC266" i="25" s="1"/>
  <c r="AB177" i="16"/>
  <c r="V189" i="16"/>
  <c r="V191" i="16" s="1"/>
  <c r="V194" i="16" s="1"/>
  <c r="V187" i="16"/>
  <c r="AC181" i="16"/>
  <c r="X262" i="25"/>
  <c r="U270" i="25"/>
  <c r="Y329" i="16"/>
  <c r="AB183" i="16"/>
  <c r="U101" i="16"/>
  <c r="U188" i="16"/>
  <c r="U460" i="16" s="1"/>
  <c r="AB439" i="16"/>
  <c r="AA198" i="16"/>
  <c r="AB198" i="16" s="1"/>
  <c r="Z199" i="16"/>
  <c r="AB180" i="16"/>
  <c r="AC180" i="16" s="1"/>
  <c r="X172" i="16"/>
  <c r="W184" i="16"/>
  <c r="T42" i="16"/>
  <c r="AB24" i="16"/>
  <c r="AC23" i="16"/>
  <c r="AC24" i="16" s="1"/>
  <c r="AB175" i="16"/>
  <c r="AB197" i="16"/>
  <c r="AC197" i="16" s="1"/>
  <c r="AC365" i="25"/>
  <c r="AC368" i="25" s="1"/>
  <c r="AB178" i="16"/>
  <c r="AB177" i="25"/>
  <c r="AB409" i="25"/>
  <c r="X350" i="25"/>
  <c r="T497" i="25"/>
  <c r="Q345" i="16"/>
  <c r="W97" i="16"/>
  <c r="W128" i="16"/>
  <c r="X434" i="16"/>
  <c r="Y433" i="16"/>
  <c r="X496" i="16"/>
  <c r="T460" i="25"/>
  <c r="M385" i="25"/>
  <c r="M386" i="25" s="1"/>
  <c r="M62" i="25" s="1"/>
  <c r="M66" i="25" s="1"/>
  <c r="M70" i="25" s="1"/>
  <c r="AB15" i="16"/>
  <c r="AA21" i="16"/>
  <c r="AA22" i="16" s="1"/>
  <c r="AA16" i="16"/>
  <c r="AA19" i="16"/>
  <c r="V96" i="25"/>
  <c r="AC393" i="16"/>
  <c r="AB119" i="16"/>
  <c r="AB487" i="16"/>
  <c r="AB256" i="16"/>
  <c r="AB380" i="25"/>
  <c r="AB370" i="25"/>
  <c r="AB427" i="25"/>
  <c r="AB372" i="25"/>
  <c r="AB348" i="25"/>
  <c r="AB440" i="25"/>
  <c r="T106" i="25"/>
  <c r="T63" i="25"/>
  <c r="Y185" i="25"/>
  <c r="X286" i="25"/>
  <c r="X288" i="25" s="1"/>
  <c r="X289" i="25" s="1"/>
  <c r="X292" i="25" s="1"/>
  <c r="AB180" i="25"/>
  <c r="W482" i="25"/>
  <c r="W472" i="25"/>
  <c r="Z141" i="25"/>
  <c r="V466" i="16"/>
  <c r="W415" i="16"/>
  <c r="W39" i="25"/>
  <c r="W142" i="25"/>
  <c r="V428" i="25"/>
  <c r="U430" i="25"/>
  <c r="O320" i="16"/>
  <c r="N321" i="16"/>
  <c r="W464" i="25"/>
  <c r="AB362" i="16"/>
  <c r="AA160" i="16"/>
  <c r="Y397" i="16"/>
  <c r="X494" i="16"/>
  <c r="Y296" i="25"/>
  <c r="Y302" i="25"/>
  <c r="Y13" i="25"/>
  <c r="Z11" i="25"/>
  <c r="Z139" i="25" s="1"/>
  <c r="Y12" i="25"/>
  <c r="Y299" i="25"/>
  <c r="V96" i="16"/>
  <c r="O376" i="16"/>
  <c r="P395" i="27"/>
  <c r="O376" i="25"/>
  <c r="Z10" i="25"/>
  <c r="AA9" i="25"/>
  <c r="Y327" i="25"/>
  <c r="AB287" i="25"/>
  <c r="Y146" i="25"/>
  <c r="X149" i="25"/>
  <c r="Z371" i="25"/>
  <c r="AA86" i="25"/>
  <c r="Y137" i="25"/>
  <c r="Z137" i="25" s="1"/>
  <c r="Y186" i="16"/>
  <c r="X265" i="16"/>
  <c r="Q395" i="16"/>
  <c r="P382" i="16"/>
  <c r="P381" i="16"/>
  <c r="V234" i="25"/>
  <c r="X495" i="25"/>
  <c r="Y400" i="25"/>
  <c r="Y421" i="25"/>
  <c r="Z421" i="25" s="1"/>
  <c r="Y138" i="25"/>
  <c r="W411" i="25"/>
  <c r="AB175" i="25"/>
  <c r="Y281" i="25"/>
  <c r="Z281" i="25" s="1"/>
  <c r="Y400" i="16"/>
  <c r="X495" i="16"/>
  <c r="Y168" i="25"/>
  <c r="Z168" i="25" s="1"/>
  <c r="AB147" i="16"/>
  <c r="AA305" i="16"/>
  <c r="AA307" i="16" s="1"/>
  <c r="AA308" i="16" s="1"/>
  <c r="P344" i="25"/>
  <c r="O343" i="25"/>
  <c r="O345" i="25" s="1"/>
  <c r="Z255" i="16"/>
  <c r="Z258" i="16" s="1"/>
  <c r="AA182" i="16"/>
  <c r="Y429" i="25"/>
  <c r="Z429" i="25" s="1"/>
  <c r="AB364" i="16"/>
  <c r="AA266" i="16"/>
  <c r="X51" i="25"/>
  <c r="Y341" i="25"/>
  <c r="U95" i="16"/>
  <c r="V456" i="16"/>
  <c r="U269" i="16"/>
  <c r="Y357" i="25"/>
  <c r="Z357" i="25" s="1"/>
  <c r="AA91" i="25"/>
  <c r="W282" i="16"/>
  <c r="W280" i="16"/>
  <c r="X279" i="16"/>
  <c r="AA173" i="16"/>
  <c r="T492" i="25"/>
  <c r="T352" i="25"/>
  <c r="X169" i="16"/>
  <c r="X398" i="16"/>
  <c r="W126" i="16"/>
  <c r="U406" i="25"/>
  <c r="U407" i="25" s="1"/>
  <c r="W234" i="16"/>
  <c r="W236" i="16" s="1"/>
  <c r="X233" i="16"/>
  <c r="AA9" i="16"/>
  <c r="Z10" i="16"/>
  <c r="Y261" i="25"/>
  <c r="Y260" i="25"/>
  <c r="Y259" i="25"/>
  <c r="N448" i="16"/>
  <c r="N450" i="16" s="1"/>
  <c r="N408" i="27"/>
  <c r="N448" i="25"/>
  <c r="N450" i="25" s="1"/>
  <c r="O404" i="27"/>
  <c r="Z152" i="25"/>
  <c r="AB229" i="16"/>
  <c r="Z238" i="25"/>
  <c r="V187" i="25"/>
  <c r="V189" i="25"/>
  <c r="V191" i="25" s="1"/>
  <c r="Y135" i="25"/>
  <c r="X140" i="25"/>
  <c r="AB336" i="16"/>
  <c r="AA337" i="16"/>
  <c r="Y419" i="25"/>
  <c r="X422" i="25"/>
  <c r="AB24" i="25"/>
  <c r="AC23" i="25"/>
  <c r="AC24" i="25" s="1"/>
  <c r="AA16" i="25"/>
  <c r="AB15" i="25"/>
  <c r="AA19" i="25"/>
  <c r="AA21" i="25"/>
  <c r="AA22" i="25" s="1"/>
  <c r="U95" i="25"/>
  <c r="V456" i="25"/>
  <c r="AA336" i="25"/>
  <c r="Z337" i="25"/>
  <c r="AB241" i="16"/>
  <c r="AA43" i="16"/>
  <c r="W282" i="25"/>
  <c r="W280" i="25"/>
  <c r="X279" i="25"/>
  <c r="Y169" i="25"/>
  <c r="X99" i="25"/>
  <c r="X371" i="16"/>
  <c r="Y86" i="16"/>
  <c r="Y420" i="25"/>
  <c r="Z420" i="25" s="1"/>
  <c r="U101" i="25"/>
  <c r="U188" i="25"/>
  <c r="Y136" i="25"/>
  <c r="Z136" i="25" s="1"/>
  <c r="W142" i="16"/>
  <c r="W39" i="16"/>
  <c r="V267" i="25"/>
  <c r="V269" i="25" s="1"/>
  <c r="W415" i="25"/>
  <c r="W466" i="25" s="1"/>
  <c r="AB11" i="4"/>
  <c r="AC10" i="4"/>
  <c r="AB412" i="25"/>
  <c r="AB174" i="25"/>
  <c r="Z380" i="16"/>
  <c r="AA368" i="16"/>
  <c r="Z427" i="16"/>
  <c r="Z372" i="16"/>
  <c r="Z370" i="16"/>
  <c r="Z348" i="16"/>
  <c r="T291" i="25"/>
  <c r="T293" i="25" s="1"/>
  <c r="N75" i="25"/>
  <c r="N78" i="25" s="1"/>
  <c r="N80" i="25" s="1"/>
  <c r="Y424" i="16"/>
  <c r="X112" i="16"/>
  <c r="Y259" i="16"/>
  <c r="Y260" i="16"/>
  <c r="Y261" i="16"/>
  <c r="N383" i="25"/>
  <c r="Y13" i="16"/>
  <c r="Y299" i="16"/>
  <c r="Z11" i="16"/>
  <c r="Z421" i="16" s="1"/>
  <c r="Y296" i="16"/>
  <c r="Y12" i="16"/>
  <c r="Y302" i="16"/>
  <c r="X330" i="25"/>
  <c r="T114" i="25"/>
  <c r="T431" i="25" s="1"/>
  <c r="U46" i="25"/>
  <c r="T122" i="25"/>
  <c r="AB439" i="25"/>
  <c r="U351" i="16"/>
  <c r="X459" i="16"/>
  <c r="X350" i="16" s="1"/>
  <c r="Y155" i="16"/>
  <c r="AB183" i="25"/>
  <c r="U349" i="25"/>
  <c r="U210" i="25"/>
  <c r="U213" i="25" s="1"/>
  <c r="U211" i="25"/>
  <c r="V413" i="25"/>
  <c r="V406" i="25" s="1"/>
  <c r="Y424" i="25"/>
  <c r="X112" i="25"/>
  <c r="X149" i="16"/>
  <c r="Y146" i="16"/>
  <c r="X453" i="16"/>
  <c r="Y453" i="16" s="1"/>
  <c r="V416" i="16"/>
  <c r="U110" i="16"/>
  <c r="U64" i="16"/>
  <c r="N386" i="16"/>
  <c r="N62" i="16" s="1"/>
  <c r="N66" i="16" s="1"/>
  <c r="N70" i="16" s="1"/>
  <c r="N385" i="16"/>
  <c r="N75" i="16"/>
  <c r="N78" i="16" s="1"/>
  <c r="N80" i="16" s="1"/>
  <c r="Z151" i="25"/>
  <c r="X459" i="25"/>
  <c r="Y155" i="25"/>
  <c r="AA489" i="16"/>
  <c r="AB437" i="16"/>
  <c r="W457" i="25"/>
  <c r="W153" i="25"/>
  <c r="Y340" i="16"/>
  <c r="X490" i="16"/>
  <c r="O386" i="16"/>
  <c r="O62" i="16" s="1"/>
  <c r="O66" i="16" s="1"/>
  <c r="O70" i="16" s="1"/>
  <c r="O385" i="16"/>
  <c r="O75" i="16"/>
  <c r="O78" i="16" s="1"/>
  <c r="O80" i="16" s="1"/>
  <c r="P407" i="27"/>
  <c r="O449" i="25"/>
  <c r="O449" i="16"/>
  <c r="X286" i="16"/>
  <c r="X288" i="16" s="1"/>
  <c r="X289" i="16" s="1"/>
  <c r="X292" i="16" s="1"/>
  <c r="Y185" i="16"/>
  <c r="Y340" i="25"/>
  <c r="X490" i="25"/>
  <c r="AA437" i="25"/>
  <c r="Z489" i="25"/>
  <c r="Z255" i="25"/>
  <c r="Z258" i="25" s="1"/>
  <c r="AA182" i="25"/>
  <c r="W153" i="16"/>
  <c r="W457" i="16"/>
  <c r="X172" i="25"/>
  <c r="W184" i="25"/>
  <c r="AA147" i="25"/>
  <c r="Z305" i="25"/>
  <c r="Z307" i="25" s="1"/>
  <c r="Z308" i="25" s="1"/>
  <c r="M74" i="16"/>
  <c r="M72" i="16"/>
  <c r="V267" i="16"/>
  <c r="V269" i="16" s="1"/>
  <c r="V110" i="25"/>
  <c r="R343" i="16"/>
  <c r="R345" i="16" s="1"/>
  <c r="S344" i="16"/>
  <c r="X265" i="25"/>
  <c r="Y186" i="25"/>
  <c r="X410" i="25"/>
  <c r="AB365" i="16"/>
  <c r="S319" i="27"/>
  <c r="S341" i="27"/>
  <c r="W127" i="25"/>
  <c r="X401" i="25"/>
  <c r="AB178" i="25"/>
  <c r="AC338" i="16"/>
  <c r="X331" i="16"/>
  <c r="X48" i="16" s="1"/>
  <c r="Y327" i="16"/>
  <c r="Y330" i="16" s="1"/>
  <c r="AB181" i="25"/>
  <c r="U194" i="25"/>
  <c r="M75" i="25"/>
  <c r="M78" i="25" s="1"/>
  <c r="M80" i="25" s="1"/>
  <c r="X140" i="16"/>
  <c r="Y135" i="16"/>
  <c r="U204" i="25"/>
  <c r="U218" i="25"/>
  <c r="Y148" i="25"/>
  <c r="Z148" i="25" s="1"/>
  <c r="X398" i="25"/>
  <c r="W126" i="25"/>
  <c r="O397" i="27"/>
  <c r="N375" i="25"/>
  <c r="N377" i="25" s="1"/>
  <c r="N375" i="16"/>
  <c r="N377" i="16" s="1"/>
  <c r="AC30" i="25"/>
  <c r="AC31" i="25" s="1"/>
  <c r="AB31" i="25"/>
  <c r="AB33" i="25" s="1"/>
  <c r="AC33" i="25" s="1"/>
  <c r="Y452" i="25"/>
  <c r="Z452" i="25" s="1"/>
  <c r="Y397" i="25"/>
  <c r="X494" i="25"/>
  <c r="Y91" i="16"/>
  <c r="U202" i="25"/>
  <c r="U216" i="25"/>
  <c r="Q320" i="25"/>
  <c r="P321" i="25"/>
  <c r="Z148" i="16"/>
  <c r="W482" i="16"/>
  <c r="W472" i="16"/>
  <c r="Y341" i="16"/>
  <c r="X51" i="16"/>
  <c r="W97" i="25"/>
  <c r="W128" i="25"/>
  <c r="X434" i="25"/>
  <c r="O381" i="25"/>
  <c r="O382" i="25"/>
  <c r="P395" i="25"/>
  <c r="Y384" i="16"/>
  <c r="Y138" i="16"/>
  <c r="Z138" i="16" s="1"/>
  <c r="U49" i="25"/>
  <c r="T50" i="25"/>
  <c r="V428" i="16"/>
  <c r="U430" i="16"/>
  <c r="X496" i="25"/>
  <c r="Y433" i="25"/>
  <c r="AB179" i="25"/>
  <c r="Y238" i="16"/>
  <c r="Z238" i="16" s="1"/>
  <c r="X422" i="16"/>
  <c r="Y419" i="16"/>
  <c r="AA197" i="25"/>
  <c r="AA173" i="25"/>
  <c r="AB173" i="25" s="1"/>
  <c r="AB323" i="25"/>
  <c r="AA65" i="25"/>
  <c r="X401" i="16"/>
  <c r="Y141" i="16"/>
  <c r="Z141" i="16" s="1"/>
  <c r="Z384" i="16" l="1"/>
  <c r="Y262" i="25"/>
  <c r="U71" i="25"/>
  <c r="AA199" i="16"/>
  <c r="AB199" i="16" s="1"/>
  <c r="V101" i="16"/>
  <c r="V188" i="16"/>
  <c r="V460" i="16" s="1"/>
  <c r="AC174" i="16"/>
  <c r="AC179" i="16"/>
  <c r="Z357" i="16"/>
  <c r="Z137" i="16"/>
  <c r="Y262" i="16"/>
  <c r="Z152" i="16"/>
  <c r="V405" i="25"/>
  <c r="AC175" i="16"/>
  <c r="W189" i="16"/>
  <c r="W191" i="16" s="1"/>
  <c r="W194" i="16" s="1"/>
  <c r="W187" i="16"/>
  <c r="AC198" i="16"/>
  <c r="AC183" i="16"/>
  <c r="AC256" i="25"/>
  <c r="AC487" i="25"/>
  <c r="AC119" i="25"/>
  <c r="Y453" i="25"/>
  <c r="Z453" i="25" s="1"/>
  <c r="V270" i="25"/>
  <c r="W283" i="25"/>
  <c r="W283" i="16"/>
  <c r="AC178" i="16"/>
  <c r="X184" i="16"/>
  <c r="Y172" i="16"/>
  <c r="AC439" i="16"/>
  <c r="AC177" i="16"/>
  <c r="AB412" i="16"/>
  <c r="AC412" i="16" s="1"/>
  <c r="T129" i="25"/>
  <c r="U63" i="25"/>
  <c r="U106" i="25"/>
  <c r="M74" i="25"/>
  <c r="M72" i="25"/>
  <c r="T219" i="25"/>
  <c r="T205" i="25"/>
  <c r="V49" i="25"/>
  <c r="U50" i="25"/>
  <c r="AB147" i="25"/>
  <c r="AA305" i="25"/>
  <c r="AA307" i="25" s="1"/>
  <c r="AA308" i="25" s="1"/>
  <c r="Z340" i="16"/>
  <c r="Y490" i="16"/>
  <c r="N72" i="16"/>
  <c r="N74" i="16"/>
  <c r="X153" i="16"/>
  <c r="X457" i="16"/>
  <c r="Z424" i="25"/>
  <c r="Y112" i="25"/>
  <c r="U108" i="25"/>
  <c r="Z91" i="16"/>
  <c r="U460" i="25"/>
  <c r="Z169" i="25"/>
  <c r="Y99" i="25"/>
  <c r="AB336" i="25"/>
  <c r="AA337" i="25"/>
  <c r="Y422" i="25"/>
  <c r="Z419" i="25"/>
  <c r="V188" i="25"/>
  <c r="V101" i="25"/>
  <c r="T124" i="25"/>
  <c r="AC364" i="16"/>
  <c r="AC266" i="16" s="1"/>
  <c r="AB266" i="16"/>
  <c r="V407" i="25"/>
  <c r="AB91" i="25"/>
  <c r="AB197" i="25"/>
  <c r="AC197" i="25" s="1"/>
  <c r="U497" i="16"/>
  <c r="O383" i="25"/>
  <c r="V216" i="25"/>
  <c r="Y494" i="25"/>
  <c r="Z397" i="25"/>
  <c r="P397" i="27"/>
  <c r="O375" i="25"/>
  <c r="O377" i="25" s="1"/>
  <c r="O375" i="16"/>
  <c r="O377" i="16" s="1"/>
  <c r="X127" i="25"/>
  <c r="Y401" i="25"/>
  <c r="AC365" i="16"/>
  <c r="Y265" i="25"/>
  <c r="Z186" i="25"/>
  <c r="W416" i="25"/>
  <c r="W187" i="25"/>
  <c r="W189" i="25"/>
  <c r="W191" i="25" s="1"/>
  <c r="W96" i="16"/>
  <c r="AA489" i="25"/>
  <c r="AB437" i="25"/>
  <c r="W96" i="25"/>
  <c r="Z151" i="16"/>
  <c r="Z452" i="16"/>
  <c r="V349" i="25"/>
  <c r="U351" i="25"/>
  <c r="U492" i="25" s="1"/>
  <c r="U492" i="16"/>
  <c r="U352" i="16"/>
  <c r="U114" i="25"/>
  <c r="U431" i="25" s="1"/>
  <c r="V46" i="25"/>
  <c r="U122" i="25"/>
  <c r="X472" i="16"/>
  <c r="X482" i="16"/>
  <c r="Z139" i="16"/>
  <c r="Y371" i="16"/>
  <c r="Z86" i="16"/>
  <c r="Y279" i="25"/>
  <c r="X280" i="25"/>
  <c r="X282" i="25"/>
  <c r="X283" i="25" s="1"/>
  <c r="Z168" i="16"/>
  <c r="X39" i="25"/>
  <c r="X142" i="25"/>
  <c r="Y398" i="16"/>
  <c r="X126" i="16"/>
  <c r="Z341" i="25"/>
  <c r="Y51" i="25"/>
  <c r="P343" i="25"/>
  <c r="P345" i="25" s="1"/>
  <c r="Q344" i="25"/>
  <c r="P383" i="16"/>
  <c r="Z186" i="16"/>
  <c r="Y265" i="16"/>
  <c r="AA198" i="25"/>
  <c r="Q395" i="27"/>
  <c r="P376" i="16"/>
  <c r="P376" i="25"/>
  <c r="U497" i="25"/>
  <c r="X415" i="16"/>
  <c r="W466" i="16"/>
  <c r="AC427" i="25"/>
  <c r="AC372" i="25"/>
  <c r="AC370" i="25"/>
  <c r="AC348" i="25"/>
  <c r="AC380" i="25"/>
  <c r="AC487" i="16"/>
  <c r="AC256" i="16"/>
  <c r="AC119" i="16"/>
  <c r="Z329" i="25"/>
  <c r="Z433" i="16"/>
  <c r="Y496" i="16"/>
  <c r="AC29" i="25"/>
  <c r="AC183" i="25" s="1"/>
  <c r="Y398" i="25"/>
  <c r="X126" i="25"/>
  <c r="Z327" i="16"/>
  <c r="Z330" i="16" s="1"/>
  <c r="Y331" i="16"/>
  <c r="Y48" i="16" s="1"/>
  <c r="X209" i="25"/>
  <c r="X408" i="25"/>
  <c r="X404" i="25" s="1"/>
  <c r="Y410" i="25" s="1"/>
  <c r="AC437" i="16"/>
  <c r="AB489" i="16"/>
  <c r="W416" i="16"/>
  <c r="V110" i="16"/>
  <c r="V64" i="16"/>
  <c r="U291" i="25"/>
  <c r="T217" i="25"/>
  <c r="T203" i="25"/>
  <c r="T206" i="25" s="1"/>
  <c r="V71" i="25"/>
  <c r="X415" i="25"/>
  <c r="X466" i="25" s="1"/>
  <c r="V204" i="25"/>
  <c r="Z327" i="25"/>
  <c r="Z397" i="16"/>
  <c r="Y494" i="16"/>
  <c r="O321" i="16"/>
  <c r="P320" i="16"/>
  <c r="AB16" i="16"/>
  <c r="AC15" i="16"/>
  <c r="AB21" i="16"/>
  <c r="AB22" i="16" s="1"/>
  <c r="AB19" i="16"/>
  <c r="X127" i="16"/>
  <c r="Y401" i="16"/>
  <c r="Z419" i="16"/>
  <c r="Y422" i="16"/>
  <c r="AC179" i="25"/>
  <c r="W428" i="16"/>
  <c r="V430" i="16"/>
  <c r="X128" i="25"/>
  <c r="Y434" i="25"/>
  <c r="X97" i="25"/>
  <c r="Z341" i="16"/>
  <c r="Y51" i="16"/>
  <c r="V202" i="25"/>
  <c r="Y140" i="16"/>
  <c r="Z135" i="16"/>
  <c r="Y172" i="25"/>
  <c r="X184" i="25"/>
  <c r="AB182" i="25"/>
  <c r="AA255" i="25"/>
  <c r="AA258" i="25" s="1"/>
  <c r="Z340" i="25"/>
  <c r="Y490" i="25"/>
  <c r="O74" i="16"/>
  <c r="O72" i="16"/>
  <c r="Z155" i="25"/>
  <c r="Y459" i="25"/>
  <c r="Y350" i="25" s="1"/>
  <c r="Z453" i="16"/>
  <c r="V211" i="25"/>
  <c r="V218" i="25" s="1"/>
  <c r="V210" i="25"/>
  <c r="W413" i="25"/>
  <c r="Y459" i="16"/>
  <c r="Y350" i="16" s="1"/>
  <c r="Z155" i="16"/>
  <c r="V349" i="16"/>
  <c r="N385" i="25"/>
  <c r="N386" i="25"/>
  <c r="N62" i="25" s="1"/>
  <c r="N66" i="25" s="1"/>
  <c r="N70" i="25" s="1"/>
  <c r="Z424" i="16"/>
  <c r="Y112" i="16"/>
  <c r="Z329" i="16"/>
  <c r="AC11" i="4"/>
  <c r="AD10" i="4"/>
  <c r="W267" i="16"/>
  <c r="W269" i="16" s="1"/>
  <c r="AC241" i="16"/>
  <c r="AC43" i="16" s="1"/>
  <c r="AB43" i="16"/>
  <c r="V95" i="25"/>
  <c r="W456" i="25"/>
  <c r="Y140" i="25"/>
  <c r="Z135" i="25"/>
  <c r="X234" i="16"/>
  <c r="Z136" i="16"/>
  <c r="AB173" i="16"/>
  <c r="AC173" i="16" s="1"/>
  <c r="U270" i="16"/>
  <c r="V270" i="16" s="1"/>
  <c r="V95" i="16"/>
  <c r="W456" i="16"/>
  <c r="AB182" i="16"/>
  <c r="AA255" i="16"/>
  <c r="AA258" i="16" s="1"/>
  <c r="W406" i="25"/>
  <c r="Y495" i="25"/>
  <c r="Z400" i="25"/>
  <c r="V236" i="25"/>
  <c r="X153" i="25"/>
  <c r="X457" i="25"/>
  <c r="AC287" i="25"/>
  <c r="AA10" i="25"/>
  <c r="AB9" i="25"/>
  <c r="AB160" i="16"/>
  <c r="AC362" i="16"/>
  <c r="AC160" i="16" s="1"/>
  <c r="W428" i="25"/>
  <c r="V430" i="25"/>
  <c r="Y286" i="25"/>
  <c r="Y288" i="25" s="1"/>
  <c r="Y289" i="25" s="1"/>
  <c r="Y292" i="25" s="1"/>
  <c r="Z185" i="25"/>
  <c r="Y156" i="16"/>
  <c r="Z156" i="16" s="1"/>
  <c r="X128" i="16"/>
  <c r="Y434" i="16"/>
  <c r="T343" i="16"/>
  <c r="R320" i="25"/>
  <c r="Q321" i="25"/>
  <c r="AB65" i="25"/>
  <c r="AC323" i="25"/>
  <c r="Z433" i="25"/>
  <c r="Y496" i="25"/>
  <c r="P381" i="25"/>
  <c r="Q395" i="25"/>
  <c r="P382" i="25"/>
  <c r="X142" i="16"/>
  <c r="X39" i="16"/>
  <c r="AC181" i="25"/>
  <c r="S343" i="16"/>
  <c r="T344" i="16"/>
  <c r="U344" i="16" s="1"/>
  <c r="V344" i="16" s="1"/>
  <c r="W344" i="16" s="1"/>
  <c r="X344" i="16" s="1"/>
  <c r="Y344" i="16" s="1"/>
  <c r="Z344" i="16" s="1"/>
  <c r="Z259" i="25"/>
  <c r="Z260" i="25"/>
  <c r="Z261" i="25"/>
  <c r="Y286" i="16"/>
  <c r="Y288" i="16" s="1"/>
  <c r="Y289" i="16" s="1"/>
  <c r="Y292" i="16" s="1"/>
  <c r="Z185" i="16"/>
  <c r="P449" i="25"/>
  <c r="P449" i="16"/>
  <c r="Q407" i="27"/>
  <c r="Z146" i="16"/>
  <c r="Y149" i="16"/>
  <c r="X482" i="25"/>
  <c r="X472" i="25"/>
  <c r="Y330" i="25"/>
  <c r="Z13" i="16"/>
  <c r="Z302" i="16"/>
  <c r="Z299" i="16"/>
  <c r="Z12" i="16"/>
  <c r="AA11" i="16"/>
  <c r="AA138" i="16" s="1"/>
  <c r="Z296" i="16"/>
  <c r="AB368" i="16"/>
  <c r="AA380" i="16"/>
  <c r="AA370" i="16"/>
  <c r="AA348" i="16"/>
  <c r="AA427" i="16"/>
  <c r="AA372" i="16"/>
  <c r="AC15" i="25"/>
  <c r="AB16" i="25"/>
  <c r="AB21" i="25"/>
  <c r="AB22" i="25" s="1"/>
  <c r="AB19" i="25"/>
  <c r="AC336" i="16"/>
  <c r="AC337" i="16" s="1"/>
  <c r="AB337" i="16"/>
  <c r="V194" i="25"/>
  <c r="AC229" i="16"/>
  <c r="O448" i="16"/>
  <c r="O450" i="16" s="1"/>
  <c r="P404" i="27"/>
  <c r="O448" i="25"/>
  <c r="O450" i="25" s="1"/>
  <c r="O408" i="27"/>
  <c r="Z281" i="16"/>
  <c r="AA281" i="16" s="1"/>
  <c r="AB9" i="16"/>
  <c r="AA10" i="16"/>
  <c r="Y169" i="16"/>
  <c r="X99" i="16"/>
  <c r="X97" i="16" s="1"/>
  <c r="X282" i="16"/>
  <c r="X283" i="16" s="1"/>
  <c r="Y279" i="16"/>
  <c r="X280" i="16"/>
  <c r="Z259" i="16"/>
  <c r="Z261" i="16"/>
  <c r="Z260" i="16"/>
  <c r="AC147" i="16"/>
  <c r="AC305" i="16" s="1"/>
  <c r="AC307" i="16" s="1"/>
  <c r="AC308" i="16" s="1"/>
  <c r="AB305" i="16"/>
  <c r="AB307" i="16" s="1"/>
  <c r="AB308" i="16" s="1"/>
  <c r="Z400" i="16"/>
  <c r="Y495" i="16"/>
  <c r="Z138" i="25"/>
  <c r="W233" i="25"/>
  <c r="Q382" i="16"/>
  <c r="Q381" i="16"/>
  <c r="Q383" i="16" s="1"/>
  <c r="R395" i="16"/>
  <c r="AA371" i="25"/>
  <c r="AB86" i="25"/>
  <c r="Z146" i="25"/>
  <c r="Y149" i="25"/>
  <c r="X331" i="25"/>
  <c r="X48" i="25" s="1"/>
  <c r="AA11" i="25"/>
  <c r="AA141" i="25" s="1"/>
  <c r="Z299" i="25"/>
  <c r="Z296" i="25"/>
  <c r="Z302" i="25"/>
  <c r="Z12" i="25"/>
  <c r="Z13" i="25"/>
  <c r="Z429" i="16"/>
  <c r="W267" i="25"/>
  <c r="W269" i="25" s="1"/>
  <c r="W270" i="25" s="1"/>
  <c r="Z384" i="25"/>
  <c r="AA384" i="25" s="1"/>
  <c r="Z420" i="16"/>
  <c r="Y156" i="25"/>
  <c r="Z156" i="25" s="1"/>
  <c r="AA421" i="25" l="1"/>
  <c r="AA151" i="25"/>
  <c r="Z172" i="16"/>
  <c r="Y184" i="16"/>
  <c r="Z262" i="16"/>
  <c r="AA136" i="25"/>
  <c r="V213" i="25"/>
  <c r="AA357" i="25"/>
  <c r="AA139" i="25"/>
  <c r="X189" i="16"/>
  <c r="X191" i="16" s="1"/>
  <c r="X194" i="16" s="1"/>
  <c r="X187" i="16"/>
  <c r="W188" i="16"/>
  <c r="W460" i="16" s="1"/>
  <c r="W101" i="16"/>
  <c r="AC199" i="16"/>
  <c r="Z262" i="25"/>
  <c r="U129" i="25"/>
  <c r="AA146" i="25"/>
  <c r="Z149" i="25"/>
  <c r="Q449" i="16"/>
  <c r="R407" i="27"/>
  <c r="Q449" i="25"/>
  <c r="Z496" i="25"/>
  <c r="AA433" i="25"/>
  <c r="S320" i="25"/>
  <c r="S321" i="25" s="1"/>
  <c r="R321" i="25"/>
  <c r="X456" i="25"/>
  <c r="W95" i="25"/>
  <c r="AE10" i="4"/>
  <c r="AD11" i="4"/>
  <c r="AA152" i="16"/>
  <c r="AA168" i="16"/>
  <c r="Y282" i="25"/>
  <c r="Y280" i="25"/>
  <c r="Y283" i="25" s="1"/>
  <c r="Z279" i="25"/>
  <c r="AB489" i="25"/>
  <c r="AC437" i="25"/>
  <c r="Z422" i="25"/>
  <c r="AA419" i="25"/>
  <c r="W49" i="25"/>
  <c r="V50" i="25"/>
  <c r="AC86" i="25"/>
  <c r="AB371" i="25"/>
  <c r="Z169" i="16"/>
  <c r="Y99" i="16"/>
  <c r="Z330" i="25"/>
  <c r="AA330" i="25" s="1"/>
  <c r="AA137" i="16"/>
  <c r="T345" i="16"/>
  <c r="U343" i="16"/>
  <c r="AA261" i="16"/>
  <c r="AA259" i="16"/>
  <c r="AA260" i="16"/>
  <c r="Y482" i="16"/>
  <c r="Y472" i="16"/>
  <c r="X187" i="25"/>
  <c r="X189" i="25"/>
  <c r="X191" i="25" s="1"/>
  <c r="AA135" i="16"/>
  <c r="Z140" i="16"/>
  <c r="W202" i="25"/>
  <c r="Z51" i="16"/>
  <c r="AA341" i="16"/>
  <c r="AA384" i="16"/>
  <c r="AC180" i="25"/>
  <c r="AA281" i="25"/>
  <c r="AA357" i="16"/>
  <c r="AC489" i="16"/>
  <c r="X464" i="25"/>
  <c r="AC178" i="25"/>
  <c r="AC175" i="25"/>
  <c r="AA429" i="25"/>
  <c r="AA238" i="25"/>
  <c r="Z371" i="16"/>
  <c r="AA86" i="16"/>
  <c r="U124" i="16"/>
  <c r="W349" i="25"/>
  <c r="V351" i="25"/>
  <c r="V492" i="25" s="1"/>
  <c r="W101" i="25"/>
  <c r="W188" i="25"/>
  <c r="O386" i="25"/>
  <c r="O62" i="25" s="1"/>
  <c r="O66" i="25" s="1"/>
  <c r="O70" i="25" s="1"/>
  <c r="O385" i="25"/>
  <c r="AC177" i="25"/>
  <c r="Z99" i="25"/>
  <c r="Y472" i="25"/>
  <c r="Y482" i="25"/>
  <c r="X96" i="16"/>
  <c r="Z490" i="16"/>
  <c r="AA340" i="16"/>
  <c r="AC147" i="25"/>
  <c r="AC305" i="25" s="1"/>
  <c r="AC307" i="25" s="1"/>
  <c r="AC308" i="25" s="1"/>
  <c r="AB305" i="25"/>
  <c r="AB307" i="25" s="1"/>
  <c r="AB308" i="25" s="1"/>
  <c r="AA238" i="16"/>
  <c r="AA421" i="16"/>
  <c r="AA138" i="25"/>
  <c r="AA400" i="25"/>
  <c r="Z495" i="25"/>
  <c r="W95" i="16"/>
  <c r="X456" i="16"/>
  <c r="Y233" i="16"/>
  <c r="AB255" i="25"/>
  <c r="AB258" i="25" s="1"/>
  <c r="AC182" i="25"/>
  <c r="AC255" i="25" s="1"/>
  <c r="AC258" i="25" s="1"/>
  <c r="V291" i="25"/>
  <c r="U217" i="25"/>
  <c r="U203" i="25"/>
  <c r="U293" i="25"/>
  <c r="AA139" i="16"/>
  <c r="W194" i="25"/>
  <c r="AA397" i="25"/>
  <c r="Z494" i="25"/>
  <c r="U352" i="25"/>
  <c r="AA299" i="25"/>
  <c r="AB11" i="25"/>
  <c r="AB141" i="25" s="1"/>
  <c r="AA302" i="25"/>
  <c r="AA12" i="25"/>
  <c r="AA296" i="25"/>
  <c r="AA13" i="25"/>
  <c r="Q382" i="25"/>
  <c r="R395" i="25"/>
  <c r="Q381" i="25"/>
  <c r="AC65" i="25"/>
  <c r="X96" i="25"/>
  <c r="AA135" i="25"/>
  <c r="Z140" i="25"/>
  <c r="AC409" i="25"/>
  <c r="AC412" i="25" s="1"/>
  <c r="W234" i="25"/>
  <c r="Z495" i="16"/>
  <c r="AA400" i="16"/>
  <c r="Y280" i="16"/>
  <c r="Y283" i="16" s="1"/>
  <c r="Z279" i="16"/>
  <c r="Y282" i="16"/>
  <c r="AC16" i="25"/>
  <c r="AC21" i="25"/>
  <c r="AC22" i="25" s="1"/>
  <c r="AC19" i="25"/>
  <c r="AC174" i="25"/>
  <c r="AC439" i="25"/>
  <c r="Y457" i="16"/>
  <c r="Y153" i="16"/>
  <c r="AA344" i="16"/>
  <c r="X267" i="16"/>
  <c r="X269" i="16" s="1"/>
  <c r="P383" i="25"/>
  <c r="P75" i="25" s="1"/>
  <c r="P78" i="25" s="1"/>
  <c r="P80" i="25" s="1"/>
  <c r="Y97" i="16"/>
  <c r="Y128" i="16"/>
  <c r="Z434" i="16"/>
  <c r="AA137" i="25"/>
  <c r="X411" i="25"/>
  <c r="AC182" i="16"/>
  <c r="AC255" i="16" s="1"/>
  <c r="AC258" i="16" s="1"/>
  <c r="AB255" i="16"/>
  <c r="AB258" i="16" s="1"/>
  <c r="X236" i="16"/>
  <c r="Y39" i="25"/>
  <c r="Y142" i="25"/>
  <c r="AA329" i="16"/>
  <c r="W349" i="16"/>
  <c r="V351" i="16"/>
  <c r="V492" i="16" s="1"/>
  <c r="V108" i="25"/>
  <c r="Z459" i="25"/>
  <c r="Z350" i="25" s="1"/>
  <c r="AA155" i="25"/>
  <c r="AA156" i="25" s="1"/>
  <c r="AA340" i="25"/>
  <c r="Z490" i="25"/>
  <c r="Y184" i="25"/>
  <c r="Z172" i="25"/>
  <c r="Y142" i="16"/>
  <c r="Y39" i="16"/>
  <c r="V497" i="16"/>
  <c r="AA419" i="16"/>
  <c r="Z422" i="16"/>
  <c r="AC19" i="16"/>
  <c r="AC16" i="16"/>
  <c r="AC21" i="16"/>
  <c r="AC22" i="16" s="1"/>
  <c r="AA397" i="16"/>
  <c r="Z494" i="16"/>
  <c r="O75" i="25"/>
  <c r="O78" i="25" s="1"/>
  <c r="O80" i="25" s="1"/>
  <c r="AA152" i="25"/>
  <c r="AB152" i="25" s="1"/>
  <c r="Z398" i="25"/>
  <c r="Y126" i="25"/>
  <c r="Z496" i="16"/>
  <c r="AA433" i="16"/>
  <c r="AC440" i="25"/>
  <c r="Z265" i="16"/>
  <c r="AA186" i="16"/>
  <c r="AA168" i="25"/>
  <c r="AB168" i="25" s="1"/>
  <c r="X267" i="25"/>
  <c r="X269" i="25" s="1"/>
  <c r="X270" i="25" s="1"/>
  <c r="AA452" i="16"/>
  <c r="W110" i="25"/>
  <c r="X416" i="25"/>
  <c r="W64" i="25"/>
  <c r="Z401" i="25"/>
  <c r="Y127" i="25"/>
  <c r="W216" i="25"/>
  <c r="V63" i="25"/>
  <c r="V106" i="25"/>
  <c r="Q385" i="16"/>
  <c r="Q386" i="16"/>
  <c r="Q62" i="16" s="1"/>
  <c r="Q66" i="16" s="1"/>
  <c r="Q70" i="16" s="1"/>
  <c r="AA296" i="16"/>
  <c r="AA299" i="16"/>
  <c r="AA12" i="16"/>
  <c r="AA13" i="16"/>
  <c r="AA302" i="16"/>
  <c r="AB11" i="16"/>
  <c r="AB138" i="16" s="1"/>
  <c r="X428" i="25"/>
  <c r="W430" i="25"/>
  <c r="U291" i="16"/>
  <c r="N72" i="25"/>
  <c r="N74" i="25"/>
  <c r="AA327" i="25"/>
  <c r="Y209" i="25"/>
  <c r="Y408" i="25"/>
  <c r="Y404" i="25" s="1"/>
  <c r="AB198" i="25"/>
  <c r="AC198" i="25" s="1"/>
  <c r="AA199" i="25"/>
  <c r="Y126" i="16"/>
  <c r="Z398" i="16"/>
  <c r="AB370" i="16"/>
  <c r="AB372" i="16"/>
  <c r="AC368" i="16"/>
  <c r="AB348" i="16"/>
  <c r="AB380" i="16"/>
  <c r="AB427" i="16"/>
  <c r="W210" i="25"/>
  <c r="W211" i="25"/>
  <c r="Q75" i="16"/>
  <c r="Q78" i="16" s="1"/>
  <c r="Q80" i="16" s="1"/>
  <c r="AA420" i="16"/>
  <c r="AA429" i="16"/>
  <c r="Y153" i="25"/>
  <c r="Y457" i="25"/>
  <c r="S395" i="16"/>
  <c r="R381" i="16"/>
  <c r="R382" i="16"/>
  <c r="Y415" i="25"/>
  <c r="Y466" i="25" s="1"/>
  <c r="AC9" i="16"/>
  <c r="AC10" i="16" s="1"/>
  <c r="AB10" i="16"/>
  <c r="P448" i="16"/>
  <c r="P450" i="16" s="1"/>
  <c r="P408" i="27"/>
  <c r="P448" i="25"/>
  <c r="P450" i="25" s="1"/>
  <c r="Q404" i="27"/>
  <c r="AA420" i="25"/>
  <c r="AA91" i="16"/>
  <c r="AA146" i="16"/>
  <c r="Z149" i="16"/>
  <c r="Z286" i="16"/>
  <c r="Z288" i="16" s="1"/>
  <c r="Z289" i="16" s="1"/>
  <c r="Z292" i="16" s="1"/>
  <c r="AA185" i="16"/>
  <c r="S345" i="16"/>
  <c r="T355" i="16"/>
  <c r="AA148" i="25"/>
  <c r="AB148" i="25" s="1"/>
  <c r="AA185" i="25"/>
  <c r="Z286" i="25"/>
  <c r="Z288" i="25" s="1"/>
  <c r="Z289" i="25" s="1"/>
  <c r="Z292" i="25" s="1"/>
  <c r="V497" i="25"/>
  <c r="AC9" i="25"/>
  <c r="AC10" i="25" s="1"/>
  <c r="AB10" i="25"/>
  <c r="W405" i="25"/>
  <c r="W407" i="25" s="1"/>
  <c r="AA136" i="16"/>
  <c r="W270" i="16"/>
  <c r="Z112" i="16"/>
  <c r="AA424" i="16"/>
  <c r="Z459" i="16"/>
  <c r="Z350" i="16" s="1"/>
  <c r="AA155" i="16"/>
  <c r="AA260" i="25"/>
  <c r="AA261" i="25"/>
  <c r="AA259" i="25"/>
  <c r="AA262" i="25"/>
  <c r="AA452" i="25"/>
  <c r="AA148" i="16"/>
  <c r="Z434" i="25"/>
  <c r="Y97" i="25"/>
  <c r="Y128" i="25"/>
  <c r="X428" i="16"/>
  <c r="W430" i="16"/>
  <c r="Z401" i="16"/>
  <c r="Y127" i="16"/>
  <c r="P321" i="16"/>
  <c r="Q320" i="16"/>
  <c r="Y331" i="25"/>
  <c r="Y48" i="25" s="1"/>
  <c r="W71" i="25"/>
  <c r="T220" i="25"/>
  <c r="W110" i="16"/>
  <c r="X416" i="16"/>
  <c r="W64" i="16"/>
  <c r="AA327" i="16"/>
  <c r="AA330" i="16" s="1"/>
  <c r="Z331" i="16"/>
  <c r="Z48" i="16" s="1"/>
  <c r="AC173" i="25"/>
  <c r="AA329" i="25"/>
  <c r="AB329" i="25" s="1"/>
  <c r="AC91" i="25"/>
  <c r="Y415" i="16"/>
  <c r="X466" i="16"/>
  <c r="R395" i="27"/>
  <c r="Q376" i="16"/>
  <c r="Q376" i="25"/>
  <c r="P385" i="16"/>
  <c r="P386" i="16"/>
  <c r="P62" i="16" s="1"/>
  <c r="P66" i="16" s="1"/>
  <c r="P70" i="16" s="1"/>
  <c r="P75" i="16"/>
  <c r="P78" i="16" s="1"/>
  <c r="P80" i="16" s="1"/>
  <c r="Q343" i="25"/>
  <c r="R344" i="25"/>
  <c r="Z51" i="25"/>
  <c r="AA341" i="25"/>
  <c r="W46" i="25"/>
  <c r="V122" i="25"/>
  <c r="V114" i="25"/>
  <c r="V431" i="25" s="1"/>
  <c r="AA151" i="16"/>
  <c r="AA186" i="25"/>
  <c r="Z265" i="25"/>
  <c r="P375" i="16"/>
  <c r="P377" i="16" s="1"/>
  <c r="P375" i="25"/>
  <c r="P377" i="25" s="1"/>
  <c r="Q397" i="27"/>
  <c r="AA141" i="16"/>
  <c r="AB141" i="16" s="1"/>
  <c r="V460" i="25"/>
  <c r="AC336" i="25"/>
  <c r="AC337" i="25" s="1"/>
  <c r="AB337" i="25"/>
  <c r="Z112" i="25"/>
  <c r="AA424" i="25"/>
  <c r="AB136" i="16" l="1"/>
  <c r="AB139" i="25"/>
  <c r="AA172" i="16"/>
  <c r="Z184" i="16"/>
  <c r="Z331" i="25"/>
  <c r="Z48" i="25" s="1"/>
  <c r="AA262" i="16"/>
  <c r="Y187" i="16"/>
  <c r="Y189" i="16"/>
  <c r="Y191" i="16" s="1"/>
  <c r="Y194" i="16" s="1"/>
  <c r="AB420" i="16"/>
  <c r="AB421" i="25"/>
  <c r="AB357" i="25"/>
  <c r="X101" i="16"/>
  <c r="X188" i="16"/>
  <c r="X460" i="16" s="1"/>
  <c r="V129" i="25"/>
  <c r="Y464" i="25"/>
  <c r="Z410" i="25"/>
  <c r="Q345" i="25"/>
  <c r="Y466" i="16"/>
  <c r="Z415" i="16"/>
  <c r="AB148" i="16"/>
  <c r="AA112" i="16"/>
  <c r="AB424" i="16"/>
  <c r="Y96" i="25"/>
  <c r="Z126" i="16"/>
  <c r="AA398" i="16"/>
  <c r="W497" i="25"/>
  <c r="Y416" i="25"/>
  <c r="X110" i="25"/>
  <c r="X64" i="25"/>
  <c r="Y187" i="25"/>
  <c r="Y189" i="25"/>
  <c r="Y191" i="25" s="1"/>
  <c r="X349" i="16"/>
  <c r="W351" i="16"/>
  <c r="W492" i="16" s="1"/>
  <c r="Y411" i="25"/>
  <c r="AA434" i="16"/>
  <c r="Z128" i="16"/>
  <c r="AA279" i="16"/>
  <c r="Z282" i="16"/>
  <c r="Z280" i="16"/>
  <c r="W218" i="25"/>
  <c r="W204" i="25"/>
  <c r="AB135" i="25"/>
  <c r="AA140" i="25"/>
  <c r="Q383" i="25"/>
  <c r="Y234" i="16"/>
  <c r="Z233" i="16" s="1"/>
  <c r="AB421" i="16"/>
  <c r="AA490" i="16"/>
  <c r="AB340" i="16"/>
  <c r="AA169" i="25"/>
  <c r="W460" i="25"/>
  <c r="X202" i="25"/>
  <c r="X194" i="25"/>
  <c r="U345" i="16"/>
  <c r="V343" i="16"/>
  <c r="AA422" i="25"/>
  <c r="AB419" i="25"/>
  <c r="AB433" i="25"/>
  <c r="AA496" i="25"/>
  <c r="AA149" i="25"/>
  <c r="AB146" i="25"/>
  <c r="X413" i="25"/>
  <c r="Z482" i="25"/>
  <c r="Z472" i="25"/>
  <c r="AB151" i="16"/>
  <c r="Y428" i="16"/>
  <c r="X430" i="16"/>
  <c r="AB341" i="25"/>
  <c r="AA51" i="25"/>
  <c r="AB327" i="16"/>
  <c r="AB330" i="16" s="1"/>
  <c r="AA331" i="16"/>
  <c r="AA48" i="16" s="1"/>
  <c r="AB452" i="25"/>
  <c r="AA453" i="25"/>
  <c r="AB453" i="25" s="1"/>
  <c r="U355" i="16"/>
  <c r="Z457" i="16"/>
  <c r="Z153" i="16"/>
  <c r="AB420" i="25"/>
  <c r="R383" i="16"/>
  <c r="AB429" i="16"/>
  <c r="W213" i="25"/>
  <c r="AB91" i="16"/>
  <c r="AB327" i="25"/>
  <c r="AA331" i="25"/>
  <c r="AA48" i="25" s="1"/>
  <c r="Y428" i="25"/>
  <c r="X430" i="25"/>
  <c r="AB281" i="16"/>
  <c r="T42" i="25"/>
  <c r="AB397" i="16"/>
  <c r="AA494" i="16"/>
  <c r="AB329" i="16"/>
  <c r="AB137" i="25"/>
  <c r="X270" i="16"/>
  <c r="X233" i="25"/>
  <c r="R382" i="25"/>
  <c r="S395" i="25"/>
  <c r="R381" i="25"/>
  <c r="U124" i="25"/>
  <c r="V352" i="25"/>
  <c r="W291" i="25"/>
  <c r="V217" i="25"/>
  <c r="V203" i="25"/>
  <c r="V293" i="25"/>
  <c r="X95" i="16"/>
  <c r="Y456" i="16"/>
  <c r="AB238" i="16"/>
  <c r="V352" i="16"/>
  <c r="AB238" i="25"/>
  <c r="AB357" i="16"/>
  <c r="AB384" i="16"/>
  <c r="X101" i="25"/>
  <c r="X188" i="25"/>
  <c r="T473" i="16"/>
  <c r="AC371" i="25"/>
  <c r="AE11" i="4"/>
  <c r="AF10" i="4"/>
  <c r="X95" i="25"/>
  <c r="Y456" i="25"/>
  <c r="AB384" i="25"/>
  <c r="X110" i="16"/>
  <c r="Y416" i="16"/>
  <c r="X64" i="16"/>
  <c r="AA401" i="16"/>
  <c r="Z127" i="16"/>
  <c r="AA459" i="16"/>
  <c r="AA350" i="16" s="1"/>
  <c r="AB155" i="16"/>
  <c r="T346" i="16"/>
  <c r="T164" i="16" s="1"/>
  <c r="AB146" i="16"/>
  <c r="AA149" i="16"/>
  <c r="T395" i="16"/>
  <c r="S381" i="16"/>
  <c r="S382" i="16"/>
  <c r="T382" i="16" s="1"/>
  <c r="U382" i="16" s="1"/>
  <c r="V382" i="16" s="1"/>
  <c r="W382" i="16" s="1"/>
  <c r="X382" i="16" s="1"/>
  <c r="Y382" i="16" s="1"/>
  <c r="Z382" i="16" s="1"/>
  <c r="AA382" i="16" s="1"/>
  <c r="AB382" i="16" s="1"/>
  <c r="AA156" i="16"/>
  <c r="V291" i="16"/>
  <c r="U203" i="16"/>
  <c r="AC11" i="16"/>
  <c r="AB12" i="16"/>
  <c r="AB296" i="16"/>
  <c r="AB299" i="16"/>
  <c r="AB302" i="16"/>
  <c r="AB13" i="16"/>
  <c r="Q74" i="16"/>
  <c r="Q72" i="16"/>
  <c r="X216" i="25"/>
  <c r="AA401" i="25"/>
  <c r="Z127" i="25"/>
  <c r="AB452" i="16"/>
  <c r="AA422" i="16"/>
  <c r="AB419" i="16"/>
  <c r="Y267" i="16"/>
  <c r="Y269" i="16" s="1"/>
  <c r="AB340" i="25"/>
  <c r="AA490" i="25"/>
  <c r="Y267" i="25"/>
  <c r="Y269" i="25" s="1"/>
  <c r="Y270" i="25" s="1"/>
  <c r="AB260" i="16"/>
  <c r="AC260" i="16" s="1"/>
  <c r="AB261" i="16"/>
  <c r="AB259" i="16"/>
  <c r="AB344" i="16"/>
  <c r="AA495" i="16"/>
  <c r="AB400" i="16"/>
  <c r="AB151" i="25"/>
  <c r="U205" i="25"/>
  <c r="U219" i="25"/>
  <c r="U220" i="25" s="1"/>
  <c r="AA495" i="25"/>
  <c r="AB400" i="25"/>
  <c r="Z415" i="25"/>
  <c r="Z466" i="25" s="1"/>
  <c r="O74" i="25"/>
  <c r="O72" i="25"/>
  <c r="AB429" i="25"/>
  <c r="AB281" i="25"/>
  <c r="AA51" i="16"/>
  <c r="AB341" i="16"/>
  <c r="Z39" i="16"/>
  <c r="Z142" i="16"/>
  <c r="AB152" i="16"/>
  <c r="AB136" i="25"/>
  <c r="P74" i="16"/>
  <c r="P72" i="16"/>
  <c r="S395" i="27"/>
  <c r="R376" i="16"/>
  <c r="R376" i="25"/>
  <c r="Z472" i="16"/>
  <c r="Z482" i="16"/>
  <c r="AA112" i="25"/>
  <c r="AB424" i="25"/>
  <c r="R397" i="27"/>
  <c r="Q375" i="16"/>
  <c r="Q377" i="16" s="1"/>
  <c r="Q375" i="25"/>
  <c r="Q377" i="25" s="1"/>
  <c r="AB186" i="25"/>
  <c r="AA265" i="25"/>
  <c r="W114" i="25"/>
  <c r="W431" i="25" s="1"/>
  <c r="W122" i="25"/>
  <c r="R343" i="25"/>
  <c r="R345" i="25" s="1"/>
  <c r="S344" i="25"/>
  <c r="Q321" i="16"/>
  <c r="R320" i="16"/>
  <c r="W497" i="16"/>
  <c r="Z128" i="25"/>
  <c r="Z97" i="25"/>
  <c r="AA434" i="25"/>
  <c r="W63" i="25"/>
  <c r="W106" i="25"/>
  <c r="AA286" i="25"/>
  <c r="AA288" i="25" s="1"/>
  <c r="AA289" i="25" s="1"/>
  <c r="AA292" i="25" s="1"/>
  <c r="AB185" i="25"/>
  <c r="AB185" i="16"/>
  <c r="AA286" i="16"/>
  <c r="AA288" i="16" s="1"/>
  <c r="AA289" i="16" s="1"/>
  <c r="AA292" i="16" s="1"/>
  <c r="Q448" i="25"/>
  <c r="Q450" i="25" s="1"/>
  <c r="R404" i="27"/>
  <c r="Q448" i="16"/>
  <c r="Q450" i="16" s="1"/>
  <c r="Q408" i="27"/>
  <c r="AC370" i="16"/>
  <c r="AC91" i="16" s="1"/>
  <c r="AC372" i="16"/>
  <c r="AC348" i="16"/>
  <c r="AC380" i="16"/>
  <c r="AC427" i="16"/>
  <c r="AB199" i="25"/>
  <c r="AC199" i="25" s="1"/>
  <c r="U293" i="16"/>
  <c r="AA265" i="16"/>
  <c r="AB186" i="16"/>
  <c r="AA496" i="16"/>
  <c r="AB433" i="16"/>
  <c r="AA398" i="25"/>
  <c r="Z126" i="25"/>
  <c r="AA172" i="25"/>
  <c r="Z184" i="25"/>
  <c r="AA459" i="25"/>
  <c r="AA350" i="25" s="1"/>
  <c r="AB155" i="25"/>
  <c r="AC261" i="16"/>
  <c r="AC259" i="16"/>
  <c r="P385" i="25"/>
  <c r="P386" i="25" s="1"/>
  <c r="P62" i="25" s="1"/>
  <c r="P66" i="25" s="1"/>
  <c r="P70" i="25" s="1"/>
  <c r="Y96" i="16"/>
  <c r="W236" i="25"/>
  <c r="Z142" i="25"/>
  <c r="Z39" i="25"/>
  <c r="AC11" i="25"/>
  <c r="AC148" i="25" s="1"/>
  <c r="AB12" i="25"/>
  <c r="AB13" i="25"/>
  <c r="AB302" i="25"/>
  <c r="AB296" i="25"/>
  <c r="AB299" i="25"/>
  <c r="AA494" i="25"/>
  <c r="AB397" i="25"/>
  <c r="AB139" i="16"/>
  <c r="U206" i="25"/>
  <c r="AB260" i="25"/>
  <c r="AC260" i="25" s="1"/>
  <c r="AB261" i="25"/>
  <c r="AC261" i="25" s="1"/>
  <c r="AB259" i="25"/>
  <c r="AC259" i="25" s="1"/>
  <c r="AB138" i="25"/>
  <c r="X349" i="25"/>
  <c r="W351" i="25"/>
  <c r="W492" i="25" s="1"/>
  <c r="AB86" i="16"/>
  <c r="AA371" i="16"/>
  <c r="AA140" i="16"/>
  <c r="AB135" i="16"/>
  <c r="AB137" i="16"/>
  <c r="AC137" i="16" s="1"/>
  <c r="Z99" i="16"/>
  <c r="Z97" i="16" s="1"/>
  <c r="AA169" i="16"/>
  <c r="W50" i="25"/>
  <c r="AC489" i="25"/>
  <c r="Z280" i="25"/>
  <c r="Z283" i="25" s="1"/>
  <c r="AA279" i="25"/>
  <c r="Z282" i="25"/>
  <c r="AB168" i="16"/>
  <c r="AA453" i="16"/>
  <c r="AB453" i="16" s="1"/>
  <c r="S407" i="27"/>
  <c r="R449" i="16"/>
  <c r="R449" i="25"/>
  <c r="Z457" i="25"/>
  <c r="Z153" i="25"/>
  <c r="AC136" i="25" l="1"/>
  <c r="Y236" i="16"/>
  <c r="Z283" i="16"/>
  <c r="AC262" i="16"/>
  <c r="AA184" i="16"/>
  <c r="AB172" i="16"/>
  <c r="Y101" i="16"/>
  <c r="Y188" i="16"/>
  <c r="Y460" i="16" s="1"/>
  <c r="AB262" i="25"/>
  <c r="U42" i="25"/>
  <c r="AB262" i="16"/>
  <c r="AC168" i="25"/>
  <c r="Z187" i="16"/>
  <c r="Z189" i="16"/>
  <c r="Z191" i="16" s="1"/>
  <c r="Z194" i="16" s="1"/>
  <c r="AC262" i="25"/>
  <c r="W129" i="25"/>
  <c r="P74" i="25"/>
  <c r="P72" i="25"/>
  <c r="Z234" i="16"/>
  <c r="AC433" i="16"/>
  <c r="AC496" i="16" s="1"/>
  <c r="AB496" i="16"/>
  <c r="R448" i="16"/>
  <c r="R450" i="16" s="1"/>
  <c r="R408" i="27"/>
  <c r="R448" i="25"/>
  <c r="R450" i="25" s="1"/>
  <c r="S404" i="27"/>
  <c r="Y216" i="25"/>
  <c r="AC296" i="16"/>
  <c r="AC12" i="16"/>
  <c r="AC299" i="16"/>
  <c r="AC302" i="16"/>
  <c r="AC13" i="16"/>
  <c r="AA457" i="16"/>
  <c r="AA153" i="16"/>
  <c r="AC136" i="16"/>
  <c r="V124" i="16"/>
  <c r="W352" i="16"/>
  <c r="T395" i="25"/>
  <c r="S382" i="25"/>
  <c r="T382" i="25" s="1"/>
  <c r="U382" i="25" s="1"/>
  <c r="V382" i="25" s="1"/>
  <c r="W382" i="25" s="1"/>
  <c r="X382" i="25" s="1"/>
  <c r="Y382" i="25" s="1"/>
  <c r="Z382" i="25" s="1"/>
  <c r="AA382" i="25" s="1"/>
  <c r="AB382" i="25" s="1"/>
  <c r="AC382" i="25" s="1"/>
  <c r="S381" i="25"/>
  <c r="S383" i="25" s="1"/>
  <c r="Z428" i="16"/>
  <c r="Y430" i="16"/>
  <c r="AB496" i="25"/>
  <c r="AC433" i="25"/>
  <c r="AC496" i="25" s="1"/>
  <c r="AA482" i="16"/>
  <c r="AA472" i="16"/>
  <c r="AC139" i="16"/>
  <c r="AA482" i="25"/>
  <c r="AA472" i="25"/>
  <c r="AC452" i="16"/>
  <c r="AC453" i="16"/>
  <c r="AA280" i="25"/>
  <c r="AA283" i="25" s="1"/>
  <c r="AB279" i="25"/>
  <c r="AA282" i="25"/>
  <c r="AB172" i="25"/>
  <c r="AA184" i="25"/>
  <c r="AB286" i="16"/>
  <c r="AB288" i="16" s="1"/>
  <c r="AB289" i="16" s="1"/>
  <c r="AB292" i="16" s="1"/>
  <c r="AC185" i="16"/>
  <c r="AC286" i="16" s="1"/>
  <c r="AC288" i="16" s="1"/>
  <c r="AC289" i="16" s="1"/>
  <c r="AC292" i="16" s="1"/>
  <c r="S343" i="25"/>
  <c r="T344" i="25"/>
  <c r="U344" i="25" s="1"/>
  <c r="V344" i="25" s="1"/>
  <c r="W344" i="25" s="1"/>
  <c r="X344" i="25" s="1"/>
  <c r="Y344" i="25" s="1"/>
  <c r="Z344" i="25" s="1"/>
  <c r="AA344" i="25" s="1"/>
  <c r="AB344" i="25" s="1"/>
  <c r="AC344" i="25" s="1"/>
  <c r="AC420" i="16"/>
  <c r="AA127" i="16"/>
  <c r="AB401" i="16"/>
  <c r="V355" i="16"/>
  <c r="X211" i="25"/>
  <c r="X210" i="25"/>
  <c r="X213" i="25" s="1"/>
  <c r="AC340" i="16"/>
  <c r="AC490" i="16" s="1"/>
  <c r="AB490" i="16"/>
  <c r="AA142" i="25"/>
  <c r="AA39" i="25"/>
  <c r="X405" i="25"/>
  <c r="AC168" i="16"/>
  <c r="AC12" i="25"/>
  <c r="AC296" i="25"/>
  <c r="AC13" i="25"/>
  <c r="AC302" i="25"/>
  <c r="AC299" i="25"/>
  <c r="AC155" i="25"/>
  <c r="AB459" i="25"/>
  <c r="AB350" i="25" s="1"/>
  <c r="AC185" i="25"/>
  <c r="AC286" i="25" s="1"/>
  <c r="AC288" i="25" s="1"/>
  <c r="AB286" i="25"/>
  <c r="AB288" i="25" s="1"/>
  <c r="AB289" i="25" s="1"/>
  <c r="AB292" i="25" s="1"/>
  <c r="R75" i="25"/>
  <c r="R78" i="25" s="1"/>
  <c r="R80" i="25" s="1"/>
  <c r="R375" i="16"/>
  <c r="R377" i="16" s="1"/>
  <c r="S397" i="27"/>
  <c r="R375" i="25"/>
  <c r="R377" i="25" s="1"/>
  <c r="S376" i="16"/>
  <c r="T376" i="16" s="1"/>
  <c r="S376" i="25"/>
  <c r="T376" i="25" s="1"/>
  <c r="AC152" i="16"/>
  <c r="AC419" i="16"/>
  <c r="AC422" i="16" s="1"/>
  <c r="AB422" i="16"/>
  <c r="AB156" i="25"/>
  <c r="AC382" i="16"/>
  <c r="AB149" i="16"/>
  <c r="AC146" i="16"/>
  <c r="AC155" i="16"/>
  <c r="AB459" i="16"/>
  <c r="AB350" i="16" s="1"/>
  <c r="X460" i="25"/>
  <c r="V124" i="25"/>
  <c r="W352" i="25"/>
  <c r="AC281" i="16"/>
  <c r="AC327" i="25"/>
  <c r="W108" i="25"/>
  <c r="AC420" i="25"/>
  <c r="AC327" i="16"/>
  <c r="AB331" i="16"/>
  <c r="AB48" i="16" s="1"/>
  <c r="AC146" i="25"/>
  <c r="AC149" i="25" s="1"/>
  <c r="AB149" i="25"/>
  <c r="AB330" i="25"/>
  <c r="AB331" i="25" s="1"/>
  <c r="AB48" i="25" s="1"/>
  <c r="AC421" i="25"/>
  <c r="AB140" i="25"/>
  <c r="AC135" i="25"/>
  <c r="X406" i="25"/>
  <c r="Y101" i="25"/>
  <c r="Y188" i="25"/>
  <c r="AA126" i="16"/>
  <c r="AB398" i="16"/>
  <c r="AC148" i="16"/>
  <c r="T343" i="25"/>
  <c r="AC141" i="25"/>
  <c r="Z209" i="25"/>
  <c r="Z408" i="25"/>
  <c r="Z404" i="25" s="1"/>
  <c r="AA410" i="25" s="1"/>
  <c r="AB169" i="16"/>
  <c r="AA99" i="16"/>
  <c r="AA97" i="16" s="1"/>
  <c r="AA142" i="16"/>
  <c r="AA39" i="16"/>
  <c r="Y349" i="25"/>
  <c r="X351" i="25"/>
  <c r="X492" i="25" s="1"/>
  <c r="AA415" i="25"/>
  <c r="AA466" i="25" s="1"/>
  <c r="AB494" i="25"/>
  <c r="AC397" i="25"/>
  <c r="AC494" i="25" s="1"/>
  <c r="AB265" i="16"/>
  <c r="AC186" i="16"/>
  <c r="AC265" i="16" s="1"/>
  <c r="U219" i="16"/>
  <c r="U205" i="16"/>
  <c r="U206" i="16" s="1"/>
  <c r="R321" i="16"/>
  <c r="S320" i="16"/>
  <c r="S321" i="16" s="1"/>
  <c r="AB265" i="25"/>
  <c r="AC186" i="25"/>
  <c r="AC265" i="25" s="1"/>
  <c r="Z267" i="16"/>
  <c r="Z269" i="16" s="1"/>
  <c r="AC281" i="25"/>
  <c r="AB495" i="25"/>
  <c r="AC400" i="25"/>
  <c r="AC495" i="25" s="1"/>
  <c r="AC344" i="16"/>
  <c r="AB490" i="25"/>
  <c r="AC340" i="25"/>
  <c r="AC490" i="25" s="1"/>
  <c r="S383" i="16"/>
  <c r="AC384" i="25"/>
  <c r="AC238" i="16"/>
  <c r="X291" i="25"/>
  <c r="W217" i="25"/>
  <c r="W293" i="25"/>
  <c r="W203" i="25"/>
  <c r="X234" i="25"/>
  <c r="X236" i="25" s="1"/>
  <c r="AC137" i="25"/>
  <c r="X497" i="25"/>
  <c r="AC429" i="16"/>
  <c r="Z96" i="16"/>
  <c r="AC452" i="25"/>
  <c r="AC453" i="25" s="1"/>
  <c r="AC151" i="16"/>
  <c r="AA153" i="25"/>
  <c r="AA457" i="25"/>
  <c r="AC357" i="25"/>
  <c r="V345" i="16"/>
  <c r="W343" i="16"/>
  <c r="Y202" i="25"/>
  <c r="AC421" i="16"/>
  <c r="AC139" i="25"/>
  <c r="AA128" i="16"/>
  <c r="AB434" i="16"/>
  <c r="Y110" i="25"/>
  <c r="Z416" i="25"/>
  <c r="Y64" i="25"/>
  <c r="Q75" i="25"/>
  <c r="Q78" i="25" s="1"/>
  <c r="Q80" i="25" s="1"/>
  <c r="AC86" i="16"/>
  <c r="AB371" i="16"/>
  <c r="AB51" i="16"/>
  <c r="AC341" i="16"/>
  <c r="AC51" i="16" s="1"/>
  <c r="AB495" i="16"/>
  <c r="AC400" i="16"/>
  <c r="AC495" i="16" s="1"/>
  <c r="Y270" i="16"/>
  <c r="AC357" i="16"/>
  <c r="Y194" i="25"/>
  <c r="AC138" i="16"/>
  <c r="AB140" i="16"/>
  <c r="AC135" i="16"/>
  <c r="AB434" i="25"/>
  <c r="AA128" i="25"/>
  <c r="Z96" i="25"/>
  <c r="S449" i="25"/>
  <c r="T449" i="25" s="1"/>
  <c r="U449" i="25" s="1"/>
  <c r="V449" i="25" s="1"/>
  <c r="W449" i="25" s="1"/>
  <c r="X449" i="25" s="1"/>
  <c r="Y449" i="25" s="1"/>
  <c r="Z449" i="25" s="1"/>
  <c r="AA449" i="25" s="1"/>
  <c r="AB449" i="25" s="1"/>
  <c r="AC449" i="25" s="1"/>
  <c r="S449" i="16"/>
  <c r="T449" i="16" s="1"/>
  <c r="U449" i="16" s="1"/>
  <c r="V449" i="16" s="1"/>
  <c r="W449" i="16" s="1"/>
  <c r="X449" i="16" s="1"/>
  <c r="Y449" i="16" s="1"/>
  <c r="Z449" i="16" s="1"/>
  <c r="AA449" i="16" s="1"/>
  <c r="AB449" i="16" s="1"/>
  <c r="AC449" i="16" s="1"/>
  <c r="AC138" i="25"/>
  <c r="Z267" i="25"/>
  <c r="Z269" i="25" s="1"/>
  <c r="Z270" i="25" s="1"/>
  <c r="Z187" i="25"/>
  <c r="Z189" i="25"/>
  <c r="Z191" i="25" s="1"/>
  <c r="AA126" i="25"/>
  <c r="AB398" i="25"/>
  <c r="AC424" i="25"/>
  <c r="AB112" i="25"/>
  <c r="AC429" i="25"/>
  <c r="AC151" i="25"/>
  <c r="AC152" i="25"/>
  <c r="AA127" i="25"/>
  <c r="AB401" i="25"/>
  <c r="W291" i="16"/>
  <c r="V293" i="16"/>
  <c r="AB156" i="16"/>
  <c r="AC156" i="16" s="1"/>
  <c r="U395" i="16"/>
  <c r="T381" i="16"/>
  <c r="T383" i="16" s="1"/>
  <c r="U346" i="16"/>
  <c r="U164" i="16"/>
  <c r="Y110" i="16"/>
  <c r="Z416" i="16"/>
  <c r="Y64" i="16"/>
  <c r="Z456" i="25"/>
  <c r="Y95" i="25"/>
  <c r="AF11" i="4"/>
  <c r="AG10" i="4"/>
  <c r="AC384" i="16"/>
  <c r="AC238" i="25"/>
  <c r="Y95" i="16"/>
  <c r="Z456" i="16"/>
  <c r="V219" i="25"/>
  <c r="V220" i="25" s="1"/>
  <c r="V205" i="25"/>
  <c r="V206" i="25" s="1"/>
  <c r="R383" i="25"/>
  <c r="AC329" i="16"/>
  <c r="AC397" i="16"/>
  <c r="AC494" i="16" s="1"/>
  <c r="AB494" i="16"/>
  <c r="Z428" i="25"/>
  <c r="Y430" i="25"/>
  <c r="R385" i="16"/>
  <c r="R386" i="16"/>
  <c r="R62" i="16" s="1"/>
  <c r="R66" i="16" s="1"/>
  <c r="R70" i="16" s="1"/>
  <c r="R75" i="16"/>
  <c r="R78" i="16" s="1"/>
  <c r="R80" i="16" s="1"/>
  <c r="AB51" i="25"/>
  <c r="AC341" i="25"/>
  <c r="AC51" i="25" s="1"/>
  <c r="X497" i="16"/>
  <c r="AC329" i="25"/>
  <c r="AC419" i="25"/>
  <c r="AC422" i="25" s="1"/>
  <c r="AB422" i="25"/>
  <c r="U473" i="16"/>
  <c r="AB169" i="25"/>
  <c r="AA99" i="25"/>
  <c r="AA97" i="25" s="1"/>
  <c r="Q385" i="25"/>
  <c r="Q386" i="25"/>
  <c r="Q62" i="25" s="1"/>
  <c r="Q66" i="25" s="1"/>
  <c r="Q70" i="25" s="1"/>
  <c r="AA280" i="16"/>
  <c r="AA282" i="16"/>
  <c r="AB279" i="16"/>
  <c r="Z411" i="25"/>
  <c r="Y349" i="16"/>
  <c r="X351" i="16"/>
  <c r="X492" i="16" s="1"/>
  <c r="AC424" i="16"/>
  <c r="AB112" i="16"/>
  <c r="AA415" i="16"/>
  <c r="Z466" i="16"/>
  <c r="AC141" i="16"/>
  <c r="AC289" i="25" l="1"/>
  <c r="AC292" i="25" s="1"/>
  <c r="AC172" i="16"/>
  <c r="AC184" i="16" s="1"/>
  <c r="AC189" i="16" s="1"/>
  <c r="AC191" i="16" s="1"/>
  <c r="AB184" i="16"/>
  <c r="AA283" i="16"/>
  <c r="AB415" i="25"/>
  <c r="AB466" i="25" s="1"/>
  <c r="AC140" i="16"/>
  <c r="AC156" i="25"/>
  <c r="Z188" i="16"/>
  <c r="Z460" i="16" s="1"/>
  <c r="Z101" i="16"/>
  <c r="AA187" i="16"/>
  <c r="AA189" i="16"/>
  <c r="AA191" i="16" s="1"/>
  <c r="AA194" i="16" s="1"/>
  <c r="X203" i="25"/>
  <c r="AC149" i="16"/>
  <c r="V42" i="25"/>
  <c r="AA209" i="25"/>
  <c r="AA408" i="25"/>
  <c r="Z95" i="16"/>
  <c r="AA456" i="16"/>
  <c r="AB142" i="16"/>
  <c r="AB39" i="16"/>
  <c r="X71" i="25"/>
  <c r="X46" i="25"/>
  <c r="X49" i="25"/>
  <c r="X108" i="25"/>
  <c r="AC172" i="25"/>
  <c r="AC184" i="25" s="1"/>
  <c r="AB184" i="25"/>
  <c r="AA96" i="16"/>
  <c r="Z236" i="16"/>
  <c r="Q74" i="25"/>
  <c r="Q72" i="25"/>
  <c r="Y497" i="25"/>
  <c r="AB127" i="25"/>
  <c r="AC401" i="25"/>
  <c r="AC127" i="25" s="1"/>
  <c r="Z101" i="25"/>
  <c r="Z188" i="25"/>
  <c r="AA96" i="25"/>
  <c r="S385" i="16"/>
  <c r="T385" i="16" s="1"/>
  <c r="U385" i="16" s="1"/>
  <c r="V385" i="16" s="1"/>
  <c r="W385" i="16" s="1"/>
  <c r="X385" i="16" s="1"/>
  <c r="Y385" i="16" s="1"/>
  <c r="Z385" i="16" s="1"/>
  <c r="AA385" i="16" s="1"/>
  <c r="AB385" i="16" s="1"/>
  <c r="AC385" i="16" s="1"/>
  <c r="S386" i="16"/>
  <c r="S62" i="16" s="1"/>
  <c r="S66" i="16" s="1"/>
  <c r="S70" i="16" s="1"/>
  <c r="T161" i="16"/>
  <c r="T162" i="16" s="1"/>
  <c r="S75" i="16"/>
  <c r="S78" i="16" s="1"/>
  <c r="S80" i="16" s="1"/>
  <c r="V323" i="16"/>
  <c r="T323" i="16"/>
  <c r="U323" i="16"/>
  <c r="AA323" i="16"/>
  <c r="Y323" i="16"/>
  <c r="X323" i="16"/>
  <c r="W323" i="16"/>
  <c r="AB323" i="16"/>
  <c r="Z323" i="16"/>
  <c r="AC323" i="16"/>
  <c r="X407" i="25"/>
  <c r="AB280" i="25"/>
  <c r="AB283" i="25" s="1"/>
  <c r="AC279" i="25"/>
  <c r="AC415" i="25" s="1"/>
  <c r="AC466" i="25" s="1"/>
  <c r="AB282" i="25"/>
  <c r="AC112" i="16"/>
  <c r="AB99" i="25"/>
  <c r="AC169" i="25"/>
  <c r="AC99" i="25" s="1"/>
  <c r="AA428" i="25"/>
  <c r="Z430" i="25"/>
  <c r="R385" i="25"/>
  <c r="R386" i="25" s="1"/>
  <c r="R62" i="25" s="1"/>
  <c r="R66" i="25" s="1"/>
  <c r="R70" i="25" s="1"/>
  <c r="AA416" i="16"/>
  <c r="Z110" i="16"/>
  <c r="Z64" i="16"/>
  <c r="V346" i="16"/>
  <c r="V219" i="16"/>
  <c r="V205" i="16"/>
  <c r="AC112" i="25"/>
  <c r="AC398" i="25"/>
  <c r="AB126" i="25"/>
  <c r="AC434" i="16"/>
  <c r="AB128" i="16"/>
  <c r="V473" i="16"/>
  <c r="W219" i="25"/>
  <c r="W205" i="25"/>
  <c r="W206" i="25" s="1"/>
  <c r="Z270" i="16"/>
  <c r="AC140" i="25"/>
  <c r="AC330" i="25"/>
  <c r="AC459" i="16"/>
  <c r="AC350" i="16" s="1"/>
  <c r="S375" i="16"/>
  <c r="S375" i="25"/>
  <c r="Y497" i="16"/>
  <c r="S386" i="25"/>
  <c r="S62" i="25" s="1"/>
  <c r="S66" i="25" s="1"/>
  <c r="S70" i="25" s="1"/>
  <c r="S385" i="25"/>
  <c r="T385" i="25" s="1"/>
  <c r="U385" i="25" s="1"/>
  <c r="V385" i="25" s="1"/>
  <c r="W385" i="25" s="1"/>
  <c r="X385" i="25" s="1"/>
  <c r="Y385" i="25" s="1"/>
  <c r="Z385" i="25" s="1"/>
  <c r="AA385" i="25" s="1"/>
  <c r="AB385" i="25" s="1"/>
  <c r="AC385" i="25" s="1"/>
  <c r="W124" i="16"/>
  <c r="X352" i="16"/>
  <c r="AA233" i="16"/>
  <c r="AB280" i="16"/>
  <c r="AC279" i="16"/>
  <c r="AB282" i="16"/>
  <c r="AB283" i="16" s="1"/>
  <c r="W345" i="16"/>
  <c r="X343" i="16"/>
  <c r="AA267" i="16"/>
  <c r="AA269" i="16" s="1"/>
  <c r="T345" i="25"/>
  <c r="U343" i="25"/>
  <c r="AB415" i="16"/>
  <c r="AA466" i="16"/>
  <c r="R74" i="16"/>
  <c r="R72" i="16"/>
  <c r="AG11" i="4"/>
  <c r="AH10" i="4"/>
  <c r="T386" i="16"/>
  <c r="T109" i="16" s="1"/>
  <c r="T90" i="16"/>
  <c r="T465" i="16"/>
  <c r="T88" i="16"/>
  <c r="AC434" i="25"/>
  <c r="AB97" i="25"/>
  <c r="AB128" i="25"/>
  <c r="AC194" i="16"/>
  <c r="AA416" i="25"/>
  <c r="Z110" i="25"/>
  <c r="Z64" i="25"/>
  <c r="Z202" i="25"/>
  <c r="X217" i="25"/>
  <c r="X218" i="25"/>
  <c r="X204" i="25"/>
  <c r="W220" i="25"/>
  <c r="Z349" i="25"/>
  <c r="Y351" i="25"/>
  <c r="Y492" i="25" s="1"/>
  <c r="AB99" i="16"/>
  <c r="AB97" i="16" s="1"/>
  <c r="AC169" i="16"/>
  <c r="Y460" i="25"/>
  <c r="AB39" i="25"/>
  <c r="AB142" i="25"/>
  <c r="AB457" i="25"/>
  <c r="AB153" i="25"/>
  <c r="AC153" i="16"/>
  <c r="U376" i="25"/>
  <c r="V376" i="25" s="1"/>
  <c r="W376" i="25" s="1"/>
  <c r="X376" i="25" s="1"/>
  <c r="Y376" i="25" s="1"/>
  <c r="Z376" i="25" s="1"/>
  <c r="AA376" i="25" s="1"/>
  <c r="AB376" i="25" s="1"/>
  <c r="AC376" i="25" s="1"/>
  <c r="T438" i="25"/>
  <c r="AA267" i="25"/>
  <c r="AA269" i="25" s="1"/>
  <c r="AA270" i="25" s="1"/>
  <c r="W355" i="16"/>
  <c r="AC401" i="16"/>
  <c r="AC127" i="16" s="1"/>
  <c r="AB127" i="16"/>
  <c r="AA428" i="16"/>
  <c r="Z430" i="16"/>
  <c r="S448" i="25"/>
  <c r="S408" i="27"/>
  <c r="S448" i="16"/>
  <c r="Z349" i="16"/>
  <c r="Y351" i="16"/>
  <c r="Y492" i="16" s="1"/>
  <c r="X291" i="16"/>
  <c r="W293" i="16"/>
  <c r="AB482" i="16"/>
  <c r="AB472" i="16"/>
  <c r="AA411" i="25"/>
  <c r="Z95" i="25"/>
  <c r="AA456" i="25"/>
  <c r="U381" i="16"/>
  <c r="U383" i="16" s="1"/>
  <c r="U161" i="16" s="1"/>
  <c r="U162" i="16" s="1"/>
  <c r="V395" i="16"/>
  <c r="AB482" i="25"/>
  <c r="AB472" i="25"/>
  <c r="Z194" i="25"/>
  <c r="AC142" i="16"/>
  <c r="AC39" i="16"/>
  <c r="AC187" i="16"/>
  <c r="AC371" i="16"/>
  <c r="Y233" i="25"/>
  <c r="Y291" i="25"/>
  <c r="X293" i="25"/>
  <c r="AA404" i="25"/>
  <c r="Z464" i="25"/>
  <c r="AB126" i="16"/>
  <c r="AC398" i="16"/>
  <c r="AC153" i="25"/>
  <c r="AC457" i="25"/>
  <c r="AC331" i="25"/>
  <c r="AC48" i="25" s="1"/>
  <c r="W124" i="25"/>
  <c r="X352" i="25"/>
  <c r="AB457" i="16"/>
  <c r="AC457" i="16" s="1"/>
  <c r="AB153" i="16"/>
  <c r="U376" i="16"/>
  <c r="V376" i="16" s="1"/>
  <c r="W376" i="16" s="1"/>
  <c r="X376" i="16" s="1"/>
  <c r="Y376" i="16" s="1"/>
  <c r="Z376" i="16" s="1"/>
  <c r="AA376" i="16" s="1"/>
  <c r="AB376" i="16" s="1"/>
  <c r="AC376" i="16" s="1"/>
  <c r="T438" i="16"/>
  <c r="AC459" i="25"/>
  <c r="AC350" i="25" s="1"/>
  <c r="AC330" i="16"/>
  <c r="AC331" i="16" s="1"/>
  <c r="AC48" i="16" s="1"/>
  <c r="Y413" i="25"/>
  <c r="S345" i="25"/>
  <c r="T355" i="25"/>
  <c r="AA189" i="25"/>
  <c r="AA191" i="25" s="1"/>
  <c r="AA187" i="25"/>
  <c r="U395" i="25"/>
  <c r="T381" i="25"/>
  <c r="T383" i="25" s="1"/>
  <c r="Z216" i="25"/>
  <c r="AA216" i="25" s="1"/>
  <c r="AB187" i="16" l="1"/>
  <c r="AB189" i="16"/>
  <c r="AB191" i="16" s="1"/>
  <c r="AB194" i="16" s="1"/>
  <c r="W42" i="25"/>
  <c r="AA101" i="16"/>
  <c r="AA188" i="16"/>
  <c r="AA460" i="16" s="1"/>
  <c r="U55" i="16"/>
  <c r="R74" i="25"/>
  <c r="R72" i="25"/>
  <c r="AA101" i="25"/>
  <c r="AA188" i="25"/>
  <c r="Y210" i="25"/>
  <c r="Y213" i="25" s="1"/>
  <c r="Y211" i="25"/>
  <c r="Y405" i="25"/>
  <c r="Y407" i="25" s="1"/>
  <c r="Y406" i="25"/>
  <c r="Y352" i="25"/>
  <c r="X124" i="25"/>
  <c r="Z291" i="25"/>
  <c r="Y293" i="25"/>
  <c r="V381" i="16"/>
  <c r="V383" i="16" s="1"/>
  <c r="W395" i="16"/>
  <c r="Y291" i="16"/>
  <c r="X293" i="16"/>
  <c r="AB428" i="16"/>
  <c r="AA430" i="16"/>
  <c r="AC99" i="16"/>
  <c r="AC97" i="16" s="1"/>
  <c r="AI10" i="4"/>
  <c r="AH11" i="4"/>
  <c r="T473" i="25"/>
  <c r="T88" i="25"/>
  <c r="T75" i="25"/>
  <c r="W473" i="16"/>
  <c r="S377" i="25"/>
  <c r="T375" i="25"/>
  <c r="AC128" i="16"/>
  <c r="AA110" i="16"/>
  <c r="AB416" i="16"/>
  <c r="AA64" i="16"/>
  <c r="AB428" i="25"/>
  <c r="AA430" i="25"/>
  <c r="AC482" i="16"/>
  <c r="AC472" i="16"/>
  <c r="Z65" i="16"/>
  <c r="Y65" i="16"/>
  <c r="V65" i="16"/>
  <c r="Y49" i="25"/>
  <c r="X50" i="25"/>
  <c r="AB456" i="16"/>
  <c r="AA95" i="16"/>
  <c r="AA194" i="25"/>
  <c r="Y234" i="25"/>
  <c r="Y236" i="25" s="1"/>
  <c r="Y203" i="25"/>
  <c r="Y217" i="25"/>
  <c r="Z233" i="25"/>
  <c r="U386" i="16"/>
  <c r="U109" i="16" s="1"/>
  <c r="U90" i="16"/>
  <c r="U465" i="16"/>
  <c r="V161" i="16"/>
  <c r="V162" i="16" s="1"/>
  <c r="U88" i="16"/>
  <c r="W219" i="16"/>
  <c r="W205" i="16"/>
  <c r="S450" i="25"/>
  <c r="T448" i="25"/>
  <c r="AB267" i="25"/>
  <c r="AB269" i="25" s="1"/>
  <c r="AB270" i="25" s="1"/>
  <c r="AA202" i="25"/>
  <c r="AB416" i="25"/>
  <c r="AA110" i="25"/>
  <c r="AA64" i="25"/>
  <c r="AA270" i="16"/>
  <c r="AB233" i="16"/>
  <c r="AA234" i="16"/>
  <c r="S74" i="25"/>
  <c r="S72" i="25"/>
  <c r="S377" i="16"/>
  <c r="T375" i="16"/>
  <c r="AC142" i="25"/>
  <c r="AC39" i="25"/>
  <c r="W346" i="16"/>
  <c r="W164" i="16" s="1"/>
  <c r="AB65" i="16"/>
  <c r="AA65" i="16"/>
  <c r="X114" i="25"/>
  <c r="X431" i="25" s="1"/>
  <c r="Y46" i="25"/>
  <c r="X122" i="25"/>
  <c r="AB267" i="16"/>
  <c r="AB269" i="16" s="1"/>
  <c r="T386" i="25"/>
  <c r="T109" i="25" s="1"/>
  <c r="T90" i="25"/>
  <c r="T465" i="25"/>
  <c r="U355" i="25"/>
  <c r="AB96" i="16"/>
  <c r="AC96" i="16" s="1"/>
  <c r="AC126" i="16"/>
  <c r="AA95" i="25"/>
  <c r="AB456" i="25"/>
  <c r="AA349" i="16"/>
  <c r="Z351" i="16"/>
  <c r="Z492" i="16" s="1"/>
  <c r="U438" i="25"/>
  <c r="T441" i="25"/>
  <c r="AC128" i="25"/>
  <c r="AC97" i="25"/>
  <c r="AC415" i="16"/>
  <c r="AC466" i="16" s="1"/>
  <c r="AB466" i="16"/>
  <c r="AC282" i="16"/>
  <c r="AC280" i="16"/>
  <c r="X124" i="16"/>
  <c r="Y352" i="16"/>
  <c r="AC472" i="25"/>
  <c r="AC482" i="25"/>
  <c r="V164" i="16"/>
  <c r="AC280" i="25"/>
  <c r="AC283" i="25" s="1"/>
  <c r="AC282" i="25"/>
  <c r="X106" i="25"/>
  <c r="X63" i="25"/>
  <c r="W65" i="16"/>
  <c r="U65" i="16"/>
  <c r="T458" i="16"/>
  <c r="T471" i="16" s="1"/>
  <c r="T474" i="16" s="1"/>
  <c r="T165" i="16"/>
  <c r="U165" i="16" s="1"/>
  <c r="V165" i="16" s="1"/>
  <c r="T55" i="16"/>
  <c r="AB189" i="25"/>
  <c r="AB191" i="25" s="1"/>
  <c r="AB187" i="25"/>
  <c r="Y71" i="25"/>
  <c r="V395" i="25"/>
  <c r="U381" i="25"/>
  <c r="U383" i="25" s="1"/>
  <c r="S75" i="25"/>
  <c r="S78" i="25" s="1"/>
  <c r="S80" i="25" s="1"/>
  <c r="T346" i="25"/>
  <c r="T164" i="25" s="1"/>
  <c r="T161" i="25"/>
  <c r="T162" i="25" s="1"/>
  <c r="U438" i="16"/>
  <c r="T441" i="16"/>
  <c r="AA464" i="25"/>
  <c r="X219" i="25"/>
  <c r="X220" i="25" s="1"/>
  <c r="X205" i="25"/>
  <c r="X206" i="25" s="1"/>
  <c r="AC101" i="16"/>
  <c r="AC188" i="16"/>
  <c r="AC267" i="16"/>
  <c r="AC269" i="16" s="1"/>
  <c r="S450" i="16"/>
  <c r="T448" i="16"/>
  <c r="Z497" i="16"/>
  <c r="X355" i="16"/>
  <c r="AB96" i="25"/>
  <c r="AC96" i="25" s="1"/>
  <c r="AA349" i="25"/>
  <c r="Z351" i="25"/>
  <c r="Z492" i="25" s="1"/>
  <c r="U345" i="25"/>
  <c r="V343" i="25"/>
  <c r="X345" i="16"/>
  <c r="Y343" i="16"/>
  <c r="AC126" i="25"/>
  <c r="Z497" i="25"/>
  <c r="AC65" i="16"/>
  <c r="X65" i="16"/>
  <c r="T65" i="16"/>
  <c r="T75" i="16"/>
  <c r="T468" i="16"/>
  <c r="U410" i="16"/>
  <c r="S74" i="16"/>
  <c r="S72" i="16"/>
  <c r="Z460" i="25"/>
  <c r="AC189" i="25"/>
  <c r="AC191" i="25" s="1"/>
  <c r="AC187" i="25"/>
  <c r="AB410" i="25"/>
  <c r="AC283" i="16" l="1"/>
  <c r="AB101" i="16"/>
  <c r="AB188" i="16"/>
  <c r="AB460" i="16" s="1"/>
  <c r="X42" i="25"/>
  <c r="AC101" i="25"/>
  <c r="AC188" i="25"/>
  <c r="V345" i="25"/>
  <c r="W343" i="25"/>
  <c r="V438" i="16"/>
  <c r="U441" i="16"/>
  <c r="U121" i="16" s="1"/>
  <c r="T166" i="16"/>
  <c r="Y114" i="25"/>
  <c r="Y122" i="25"/>
  <c r="AC267" i="25"/>
  <c r="AC269" i="25" s="1"/>
  <c r="AC270" i="25" s="1"/>
  <c r="T481" i="16"/>
  <c r="AB202" i="25"/>
  <c r="AC456" i="16"/>
  <c r="AB95" i="16"/>
  <c r="AC428" i="25"/>
  <c r="AC430" i="25" s="1"/>
  <c r="AB430" i="25"/>
  <c r="T377" i="25"/>
  <c r="T356" i="25"/>
  <c r="U375" i="25"/>
  <c r="V90" i="16"/>
  <c r="V465" i="16"/>
  <c r="V386" i="16"/>
  <c r="V109" i="16" s="1"/>
  <c r="V88" i="16"/>
  <c r="U458" i="16"/>
  <c r="V458" i="16" s="1"/>
  <c r="AC194" i="25"/>
  <c r="U88" i="25"/>
  <c r="U473" i="25"/>
  <c r="U75" i="25"/>
  <c r="T165" i="25"/>
  <c r="T166" i="25" s="1"/>
  <c r="T458" i="25"/>
  <c r="T471" i="25" s="1"/>
  <c r="T55" i="25"/>
  <c r="U386" i="25"/>
  <c r="U109" i="25" s="1"/>
  <c r="U90" i="25"/>
  <c r="U465" i="25"/>
  <c r="AB188" i="25"/>
  <c r="AB101" i="25"/>
  <c r="X129" i="25"/>
  <c r="Y431" i="25"/>
  <c r="T356" i="16"/>
  <c r="U375" i="16"/>
  <c r="T377" i="16"/>
  <c r="AA236" i="16"/>
  <c r="V166" i="16"/>
  <c r="V55" i="16"/>
  <c r="Z234" i="25"/>
  <c r="AA233" i="25"/>
  <c r="Z203" i="25"/>
  <c r="Z236" i="25"/>
  <c r="Y218" i="25"/>
  <c r="Y204" i="25"/>
  <c r="AA497" i="16"/>
  <c r="Y219" i="25"/>
  <c r="Y205" i="25"/>
  <c r="Y106" i="25"/>
  <c r="Y63" i="25"/>
  <c r="AA460" i="25"/>
  <c r="AB209" i="25"/>
  <c r="AB408" i="25"/>
  <c r="U209" i="16"/>
  <c r="U413" i="16"/>
  <c r="U408" i="16"/>
  <c r="Y345" i="16"/>
  <c r="Z343" i="16"/>
  <c r="W395" i="25"/>
  <c r="V381" i="25"/>
  <c r="V383" i="25" s="1"/>
  <c r="AB194" i="25"/>
  <c r="Y124" i="16"/>
  <c r="Z352" i="16"/>
  <c r="T121" i="25"/>
  <c r="AB349" i="16"/>
  <c r="AA351" i="16"/>
  <c r="AA492" i="16" s="1"/>
  <c r="V355" i="25"/>
  <c r="AB270" i="16"/>
  <c r="AC270" i="16" s="1"/>
  <c r="AB234" i="16"/>
  <c r="AC233" i="16" s="1"/>
  <c r="AB236" i="16"/>
  <c r="Y220" i="25"/>
  <c r="AC416" i="16"/>
  <c r="AB110" i="16"/>
  <c r="AB64" i="16"/>
  <c r="AI11" i="4"/>
  <c r="AJ10" i="4"/>
  <c r="AC428" i="16"/>
  <c r="AC430" i="16" s="1"/>
  <c r="AB430" i="16"/>
  <c r="Z291" i="16"/>
  <c r="Y293" i="16"/>
  <c r="AA291" i="25"/>
  <c r="Z293" i="25"/>
  <c r="Z352" i="25"/>
  <c r="Y124" i="25"/>
  <c r="U166" i="16"/>
  <c r="X473" i="16"/>
  <c r="AB349" i="25"/>
  <c r="AA351" i="25"/>
  <c r="AA492" i="25" s="1"/>
  <c r="Y355" i="16"/>
  <c r="T450" i="16"/>
  <c r="T444" i="16" s="1"/>
  <c r="U448" i="16"/>
  <c r="AC460" i="16"/>
  <c r="T121" i="16"/>
  <c r="U346" i="25"/>
  <c r="V438" i="25"/>
  <c r="U441" i="25"/>
  <c r="AB95" i="25"/>
  <c r="AC456" i="25"/>
  <c r="T468" i="25"/>
  <c r="X346" i="16"/>
  <c r="X164" i="16" s="1"/>
  <c r="AB110" i="25"/>
  <c r="AC416" i="25"/>
  <c r="AB64" i="25"/>
  <c r="U448" i="25"/>
  <c r="T450" i="25"/>
  <c r="T444" i="25" s="1"/>
  <c r="Y206" i="25"/>
  <c r="Y42" i="25" s="1"/>
  <c r="Y50" i="25"/>
  <c r="AA497" i="25"/>
  <c r="U161" i="25"/>
  <c r="U162" i="25" s="1"/>
  <c r="X205" i="16"/>
  <c r="X219" i="16"/>
  <c r="X395" i="16"/>
  <c r="W381" i="16"/>
  <c r="W383" i="16" s="1"/>
  <c r="W161" i="16" s="1"/>
  <c r="W162" i="16" s="1"/>
  <c r="Z413" i="25"/>
  <c r="Y108" i="25"/>
  <c r="T474" i="25" l="1"/>
  <c r="T481" i="25"/>
  <c r="W458" i="16"/>
  <c r="W471" i="16" s="1"/>
  <c r="W474" i="16" s="1"/>
  <c r="W55" i="16"/>
  <c r="W165" i="16"/>
  <c r="V471" i="16"/>
  <c r="V474" i="16" s="1"/>
  <c r="T445" i="25"/>
  <c r="T446" i="25" s="1"/>
  <c r="T488" i="25"/>
  <c r="T491" i="25" s="1"/>
  <c r="T77" i="25"/>
  <c r="T461" i="25"/>
  <c r="AC110" i="25"/>
  <c r="AC64" i="25"/>
  <c r="W438" i="25"/>
  <c r="V441" i="25"/>
  <c r="U40" i="16"/>
  <c r="U41" i="16" s="1"/>
  <c r="Z219" i="25"/>
  <c r="Z205" i="25"/>
  <c r="AK10" i="4"/>
  <c r="AJ11" i="4"/>
  <c r="AC110" i="16"/>
  <c r="AC64" i="16"/>
  <c r="X395" i="25"/>
  <c r="W381" i="25"/>
  <c r="W383" i="25" s="1"/>
  <c r="Z345" i="16"/>
  <c r="AA343" i="16"/>
  <c r="AB216" i="25"/>
  <c r="Z204" i="25"/>
  <c r="Z206" i="25" s="1"/>
  <c r="V40" i="16"/>
  <c r="V41" i="16" s="1"/>
  <c r="AB460" i="25"/>
  <c r="AB497" i="25"/>
  <c r="AC95" i="16"/>
  <c r="W438" i="16"/>
  <c r="V441" i="16"/>
  <c r="V121" i="16" s="1"/>
  <c r="V473" i="25"/>
  <c r="V88" i="25"/>
  <c r="V75" i="25"/>
  <c r="Z210" i="25"/>
  <c r="Z211" i="25"/>
  <c r="Z218" i="25" s="1"/>
  <c r="Z405" i="25"/>
  <c r="Z406" i="25"/>
  <c r="V448" i="25"/>
  <c r="U450" i="25"/>
  <c r="U444" i="25" s="1"/>
  <c r="AC95" i="25"/>
  <c r="V448" i="16"/>
  <c r="U450" i="16"/>
  <c r="AB291" i="25"/>
  <c r="AA293" i="25"/>
  <c r="AA291" i="16"/>
  <c r="Z293" i="16"/>
  <c r="Y473" i="16"/>
  <c r="U216" i="16"/>
  <c r="Y129" i="25"/>
  <c r="U468" i="25"/>
  <c r="T223" i="25"/>
  <c r="U377" i="25"/>
  <c r="V375" i="25"/>
  <c r="AC497" i="25"/>
  <c r="AC460" i="25"/>
  <c r="W90" i="16"/>
  <c r="W386" i="16"/>
  <c r="W109" i="16" s="1"/>
  <c r="W465" i="16"/>
  <c r="W88" i="16"/>
  <c r="U458" i="25"/>
  <c r="U55" i="25"/>
  <c r="Y346" i="16"/>
  <c r="Y164" i="16" s="1"/>
  <c r="V346" i="25"/>
  <c r="T445" i="16"/>
  <c r="T446" i="16"/>
  <c r="U444" i="16"/>
  <c r="T488" i="16"/>
  <c r="T491" i="16" s="1"/>
  <c r="T461" i="16"/>
  <c r="T77" i="16"/>
  <c r="Y219" i="16"/>
  <c r="Y205" i="16"/>
  <c r="AB497" i="16"/>
  <c r="W355" i="25"/>
  <c r="AC349" i="16"/>
  <c r="AC351" i="16" s="1"/>
  <c r="AB351" i="16"/>
  <c r="AB492" i="16" s="1"/>
  <c r="Z124" i="16"/>
  <c r="AA352" i="16"/>
  <c r="U404" i="16"/>
  <c r="U411" i="16"/>
  <c r="AB411" i="25"/>
  <c r="AB404" i="25"/>
  <c r="U377" i="16"/>
  <c r="V375" i="16"/>
  <c r="T98" i="25"/>
  <c r="T100" i="25" s="1"/>
  <c r="T40" i="25"/>
  <c r="T41" i="25" s="1"/>
  <c r="U471" i="16"/>
  <c r="U474" i="16" s="1"/>
  <c r="U356" i="25"/>
  <c r="T358" i="25"/>
  <c r="T359" i="25" s="1"/>
  <c r="Y395" i="16"/>
  <c r="X381" i="16"/>
  <c r="X383" i="16" s="1"/>
  <c r="X161" i="16" s="1"/>
  <c r="X162" i="16" s="1"/>
  <c r="U121" i="25"/>
  <c r="U164" i="25"/>
  <c r="Z355" i="16"/>
  <c r="AC349" i="25"/>
  <c r="AC351" i="25" s="1"/>
  <c r="AB351" i="25"/>
  <c r="AB492" i="25" s="1"/>
  <c r="AA352" i="25"/>
  <c r="Z124" i="25"/>
  <c r="AC497" i="16"/>
  <c r="AC234" i="16"/>
  <c r="AC236" i="16"/>
  <c r="U471" i="25"/>
  <c r="U474" i="25" s="1"/>
  <c r="V90" i="25"/>
  <c r="V386" i="25"/>
  <c r="V109" i="25" s="1"/>
  <c r="V465" i="25"/>
  <c r="U210" i="16"/>
  <c r="U211" i="16"/>
  <c r="AA234" i="25"/>
  <c r="AB233" i="25"/>
  <c r="T358" i="16"/>
  <c r="T359" i="16" s="1"/>
  <c r="U356" i="16"/>
  <c r="V161" i="25"/>
  <c r="V162" i="25" s="1"/>
  <c r="AC202" i="25"/>
  <c r="T98" i="16"/>
  <c r="T100" i="16" s="1"/>
  <c r="T40" i="16"/>
  <c r="T41" i="16" s="1"/>
  <c r="W345" i="25"/>
  <c r="X343" i="25"/>
  <c r="W161" i="25" l="1"/>
  <c r="W162" i="25" s="1"/>
  <c r="U213" i="16"/>
  <c r="T107" i="25"/>
  <c r="T111" i="25" s="1"/>
  <c r="T226" i="25" s="1"/>
  <c r="T62" i="25"/>
  <c r="T66" i="25" s="1"/>
  <c r="T120" i="25"/>
  <c r="T123" i="25" s="1"/>
  <c r="T102" i="25"/>
  <c r="T68" i="25"/>
  <c r="W55" i="25"/>
  <c r="X458" i="16"/>
  <c r="X471" i="16" s="1"/>
  <c r="X474" i="16" s="1"/>
  <c r="X55" i="16"/>
  <c r="T107" i="16"/>
  <c r="T111" i="16" s="1"/>
  <c r="T62" i="16"/>
  <c r="T66" i="16" s="1"/>
  <c r="U108" i="16"/>
  <c r="U445" i="25"/>
  <c r="U446" i="25" s="1"/>
  <c r="U488" i="25"/>
  <c r="U491" i="25" s="1"/>
  <c r="U461" i="25"/>
  <c r="U77" i="25"/>
  <c r="V458" i="25"/>
  <c r="W458" i="25" s="1"/>
  <c r="V55" i="25"/>
  <c r="AC233" i="25"/>
  <c r="AB234" i="25"/>
  <c r="AB236" i="25" s="1"/>
  <c r="V468" i="25"/>
  <c r="AB352" i="25"/>
  <c r="AA124" i="25"/>
  <c r="Z395" i="16"/>
  <c r="Y381" i="16"/>
  <c r="Y383" i="16" s="1"/>
  <c r="T120" i="16"/>
  <c r="T123" i="16" s="1"/>
  <c r="T68" i="16"/>
  <c r="T102" i="16"/>
  <c r="W346" i="25"/>
  <c r="W164" i="25"/>
  <c r="T462" i="25"/>
  <c r="T493" i="25" s="1"/>
  <c r="T498" i="25" s="1"/>
  <c r="T60" i="25"/>
  <c r="T56" i="25"/>
  <c r="T225" i="25"/>
  <c r="U481" i="25"/>
  <c r="U461" i="16"/>
  <c r="Z219" i="16"/>
  <c r="Z205" i="16"/>
  <c r="AA219" i="25"/>
  <c r="AA205" i="25"/>
  <c r="W448" i="25"/>
  <c r="V450" i="25"/>
  <c r="V444" i="25" s="1"/>
  <c r="AA345" i="16"/>
  <c r="AB343" i="16"/>
  <c r="U98" i="16"/>
  <c r="X165" i="16"/>
  <c r="X166" i="16" s="1"/>
  <c r="X345" i="25"/>
  <c r="Y343" i="25"/>
  <c r="AA204" i="25"/>
  <c r="U358" i="25"/>
  <c r="U359" i="25" s="1"/>
  <c r="V356" i="25"/>
  <c r="U406" i="16"/>
  <c r="U407" i="16" s="1"/>
  <c r="U405" i="16"/>
  <c r="AC492" i="16"/>
  <c r="T223" i="16"/>
  <c r="V164" i="25"/>
  <c r="W375" i="25"/>
  <c r="V377" i="25"/>
  <c r="AC291" i="25"/>
  <c r="AC293" i="25" s="1"/>
  <c r="AB293" i="25"/>
  <c r="Z71" i="25"/>
  <c r="Z46" i="25"/>
  <c r="Z49" i="25"/>
  <c r="Z213" i="25"/>
  <c r="Z217" i="25"/>
  <c r="U165" i="25"/>
  <c r="Z473" i="16"/>
  <c r="V121" i="25"/>
  <c r="W166" i="16"/>
  <c r="W473" i="25"/>
  <c r="W88" i="25"/>
  <c r="W75" i="25"/>
  <c r="U218" i="16"/>
  <c r="V204" i="16" s="1"/>
  <c r="AC492" i="25"/>
  <c r="V377" i="16"/>
  <c r="W375" i="16"/>
  <c r="U464" i="16"/>
  <c r="U75" i="16"/>
  <c r="V410" i="16"/>
  <c r="AA124" i="16"/>
  <c r="AB352" i="16"/>
  <c r="V471" i="25"/>
  <c r="V474" i="25" s="1"/>
  <c r="Z346" i="16"/>
  <c r="V202" i="16"/>
  <c r="AA413" i="25"/>
  <c r="X438" i="16"/>
  <c r="W441" i="16"/>
  <c r="W121" i="16" s="1"/>
  <c r="W90" i="25"/>
  <c r="W386" i="25"/>
  <c r="W109" i="25" s="1"/>
  <c r="W465" i="25"/>
  <c r="X438" i="25"/>
  <c r="W441" i="25"/>
  <c r="U358" i="16"/>
  <c r="U359" i="16" s="1"/>
  <c r="V356" i="16"/>
  <c r="AA236" i="25"/>
  <c r="U217" i="16"/>
  <c r="U220" i="16" s="1"/>
  <c r="AA355" i="16"/>
  <c r="X386" i="16"/>
  <c r="X109" i="16" s="1"/>
  <c r="X90" i="16"/>
  <c r="X465" i="16"/>
  <c r="X88" i="16"/>
  <c r="Y161" i="16"/>
  <c r="Y162" i="16" s="1"/>
  <c r="AB464" i="25"/>
  <c r="AC410" i="25"/>
  <c r="X355" i="25"/>
  <c r="U445" i="16"/>
  <c r="U446" i="16" s="1"/>
  <c r="U120" i="16" s="1"/>
  <c r="U488" i="16"/>
  <c r="U491" i="16" s="1"/>
  <c r="U77" i="16"/>
  <c r="AB291" i="16"/>
  <c r="AA293" i="16"/>
  <c r="W448" i="16"/>
  <c r="V450" i="16"/>
  <c r="V444" i="16" s="1"/>
  <c r="Z407" i="25"/>
  <c r="Y395" i="25"/>
  <c r="X381" i="25"/>
  <c r="X383" i="25" s="1"/>
  <c r="AK11" i="4"/>
  <c r="AL10" i="4"/>
  <c r="V165" i="25" l="1"/>
  <c r="W165" i="25" s="1"/>
  <c r="W166" i="25" s="1"/>
  <c r="W40" i="25" s="1"/>
  <c r="W41" i="25" s="1"/>
  <c r="T224" i="25"/>
  <c r="T227" i="25" s="1"/>
  <c r="X161" i="25"/>
  <c r="X162" i="25" s="1"/>
  <c r="X458" i="25" s="1"/>
  <c r="U107" i="16"/>
  <c r="U62" i="16"/>
  <c r="U62" i="25"/>
  <c r="U66" i="25" s="1"/>
  <c r="X40" i="16"/>
  <c r="X41" i="16" s="1"/>
  <c r="V488" i="25"/>
  <c r="V491" i="25" s="1"/>
  <c r="V445" i="25"/>
  <c r="V446" i="25" s="1"/>
  <c r="V461" i="25"/>
  <c r="V77" i="25"/>
  <c r="W471" i="25"/>
  <c r="W474" i="25" s="1"/>
  <c r="U120" i="25"/>
  <c r="U123" i="25" s="1"/>
  <c r="U102" i="25"/>
  <c r="U68" i="25"/>
  <c r="V445" i="16"/>
  <c r="V446" i="16" s="1"/>
  <c r="V120" i="16" s="1"/>
  <c r="V488" i="16"/>
  <c r="V77" i="16"/>
  <c r="U42" i="16"/>
  <c r="X465" i="25"/>
  <c r="X90" i="25"/>
  <c r="X386" i="25"/>
  <c r="X109" i="25" s="1"/>
  <c r="X448" i="16"/>
  <c r="W450" i="16"/>
  <c r="W444" i="16" s="1"/>
  <c r="AC291" i="16"/>
  <c r="AB293" i="16"/>
  <c r="AB355" i="16"/>
  <c r="AA346" i="16"/>
  <c r="AA164" i="16"/>
  <c r="U481" i="16"/>
  <c r="U468" i="16"/>
  <c r="Z108" i="25"/>
  <c r="Y345" i="25"/>
  <c r="Z343" i="25"/>
  <c r="U100" i="16"/>
  <c r="V98" i="16"/>
  <c r="AC234" i="25"/>
  <c r="AC236" i="25" s="1"/>
  <c r="Z395" i="25"/>
  <c r="Y381" i="25"/>
  <c r="Y383" i="25" s="1"/>
  <c r="AA219" i="16"/>
  <c r="AA205" i="16"/>
  <c r="AC209" i="25"/>
  <c r="AC408" i="25"/>
  <c r="W481" i="25"/>
  <c r="W468" i="25"/>
  <c r="Z164" i="16"/>
  <c r="V209" i="16"/>
  <c r="V413" i="16"/>
  <c r="V408" i="16"/>
  <c r="Z50" i="25"/>
  <c r="AB205" i="25"/>
  <c r="AB219" i="25"/>
  <c r="AC219" i="25" s="1"/>
  <c r="W377" i="25"/>
  <c r="X375" i="25"/>
  <c r="X88" i="25"/>
  <c r="X473" i="25"/>
  <c r="X75" i="25"/>
  <c r="AB345" i="16"/>
  <c r="AC343" i="16"/>
  <c r="AC345" i="16" s="1"/>
  <c r="X346" i="25"/>
  <c r="X164" i="25" s="1"/>
  <c r="AB124" i="25"/>
  <c r="AC352" i="25"/>
  <c r="AC124" i="25" s="1"/>
  <c r="AM10" i="4"/>
  <c r="AL11" i="4"/>
  <c r="Z106" i="25"/>
  <c r="Z63" i="25"/>
  <c r="Y355" i="25"/>
  <c r="Y458" i="16"/>
  <c r="Y55" i="16"/>
  <c r="V203" i="16"/>
  <c r="V358" i="16"/>
  <c r="V359" i="16" s="1"/>
  <c r="W356" i="16"/>
  <c r="W121" i="25"/>
  <c r="Y438" i="16"/>
  <c r="X441" i="16"/>
  <c r="X121" i="16" s="1"/>
  <c r="W98" i="16"/>
  <c r="W100" i="16" s="1"/>
  <c r="W40" i="16"/>
  <c r="W41" i="16" s="1"/>
  <c r="Z114" i="25"/>
  <c r="Z431" i="25" s="1"/>
  <c r="Z122" i="25"/>
  <c r="T462" i="16"/>
  <c r="T493" i="16" s="1"/>
  <c r="T498" i="16" s="1"/>
  <c r="T56" i="16"/>
  <c r="T60" i="16"/>
  <c r="T226" i="16"/>
  <c r="T224" i="16"/>
  <c r="T227" i="16" s="1"/>
  <c r="T225" i="16"/>
  <c r="W356" i="25"/>
  <c r="V358" i="25"/>
  <c r="V359" i="25" s="1"/>
  <c r="AA473" i="16"/>
  <c r="W450" i="25"/>
  <c r="W444" i="25" s="1"/>
  <c r="X448" i="25"/>
  <c r="T57" i="25"/>
  <c r="T58" i="25"/>
  <c r="T463" i="25"/>
  <c r="T480" i="25"/>
  <c r="Y386" i="16"/>
  <c r="Y109" i="16" s="1"/>
  <c r="Y90" i="16"/>
  <c r="Y465" i="16"/>
  <c r="Y88" i="16"/>
  <c r="V481" i="25"/>
  <c r="U166" i="25"/>
  <c r="Y438" i="25"/>
  <c r="X441" i="25"/>
  <c r="AA210" i="25"/>
  <c r="AA211" i="25"/>
  <c r="AA218" i="25" s="1"/>
  <c r="AA406" i="25"/>
  <c r="AA49" i="25" s="1"/>
  <c r="AA405" i="25"/>
  <c r="AB413" i="25" s="1"/>
  <c r="AC352" i="16"/>
  <c r="AC124" i="16" s="1"/>
  <c r="AB124" i="16"/>
  <c r="U63" i="16"/>
  <c r="W377" i="16"/>
  <c r="X375" i="16"/>
  <c r="Z220" i="25"/>
  <c r="AA203" i="25"/>
  <c r="U49" i="16"/>
  <c r="U106" i="16" s="1"/>
  <c r="U111" i="16" s="1"/>
  <c r="U46" i="16"/>
  <c r="U71" i="16"/>
  <c r="Y165" i="16"/>
  <c r="AA395" i="16"/>
  <c r="Z381" i="16"/>
  <c r="Z383" i="16" s="1"/>
  <c r="Z161" i="16" s="1"/>
  <c r="Z162" i="16" s="1"/>
  <c r="T125" i="25" l="1"/>
  <c r="T130" i="25" s="1"/>
  <c r="T54" i="25"/>
  <c r="T103" i="25"/>
  <c r="T104" i="25" s="1"/>
  <c r="T105" i="25" s="1"/>
  <c r="T44" i="25"/>
  <c r="T45" i="25" s="1"/>
  <c r="T47" i="25" s="1"/>
  <c r="T52" i="25" s="1"/>
  <c r="T53" i="25" s="1"/>
  <c r="AC205" i="25"/>
  <c r="V166" i="25"/>
  <c r="V40" i="25" s="1"/>
  <c r="V41" i="25" s="1"/>
  <c r="AB204" i="25"/>
  <c r="X471" i="25"/>
  <c r="X474" i="25" s="1"/>
  <c r="X55" i="25"/>
  <c r="V120" i="25"/>
  <c r="V123" i="25" s="1"/>
  <c r="V102" i="25"/>
  <c r="V68" i="25"/>
  <c r="AA50" i="25"/>
  <c r="T44" i="16"/>
  <c r="T45" i="16" s="1"/>
  <c r="T47" i="16" s="1"/>
  <c r="T52" i="16" s="1"/>
  <c r="T103" i="16"/>
  <c r="T104" i="16" s="1"/>
  <c r="T105" i="16" s="1"/>
  <c r="T54" i="16"/>
  <c r="Z458" i="16"/>
  <c r="Z55" i="16"/>
  <c r="W445" i="25"/>
  <c r="W446" i="25" s="1"/>
  <c r="W488" i="25"/>
  <c r="W491" i="25" s="1"/>
  <c r="W461" i="25"/>
  <c r="W77" i="25"/>
  <c r="V107" i="16"/>
  <c r="V62" i="16"/>
  <c r="W445" i="16"/>
  <c r="W446" i="16" s="1"/>
  <c r="W120" i="16" s="1"/>
  <c r="W488" i="16"/>
  <c r="W77" i="16"/>
  <c r="Z165" i="16"/>
  <c r="Z166" i="16" s="1"/>
  <c r="AA71" i="25"/>
  <c r="T486" i="25"/>
  <c r="T499" i="25" s="1"/>
  <c r="T500" i="25" s="1"/>
  <c r="T483" i="25"/>
  <c r="T85" i="25" s="1"/>
  <c r="X450" i="25"/>
  <c r="X444" i="25" s="1"/>
  <c r="Y448" i="25"/>
  <c r="AB473" i="16"/>
  <c r="V491" i="16"/>
  <c r="V216" i="16"/>
  <c r="AC411" i="25"/>
  <c r="AC404" i="25"/>
  <c r="T118" i="25"/>
  <c r="T113" i="25"/>
  <c r="T115" i="25" s="1"/>
  <c r="T116" i="25" s="1"/>
  <c r="Z345" i="25"/>
  <c r="AA343" i="25"/>
  <c r="AB346" i="16"/>
  <c r="AB164" i="16" s="1"/>
  <c r="AC355" i="16"/>
  <c r="Y448" i="16"/>
  <c r="X450" i="16"/>
  <c r="X444" i="16" s="1"/>
  <c r="Z465" i="16"/>
  <c r="Z386" i="16"/>
  <c r="Z109" i="16" s="1"/>
  <c r="Z90" i="16"/>
  <c r="Z88" i="16"/>
  <c r="AA206" i="25"/>
  <c r="AB210" i="25"/>
  <c r="AB211" i="25"/>
  <c r="AB218" i="25" s="1"/>
  <c r="AB406" i="25"/>
  <c r="AB49" i="25" s="1"/>
  <c r="AB405" i="25"/>
  <c r="AA213" i="25"/>
  <c r="AA217" i="25"/>
  <c r="AA220" i="25" s="1"/>
  <c r="T475" i="25"/>
  <c r="T469" i="25"/>
  <c r="X356" i="25"/>
  <c r="W358" i="25"/>
  <c r="W359" i="25" s="1"/>
  <c r="Y166" i="16"/>
  <c r="Z355" i="25"/>
  <c r="AM11" i="4"/>
  <c r="AN10" i="4"/>
  <c r="V411" i="16"/>
  <c r="V404" i="16"/>
  <c r="Y465" i="25"/>
  <c r="Y90" i="25"/>
  <c r="Y386" i="25"/>
  <c r="Y109" i="25" s="1"/>
  <c r="V100" i="16"/>
  <c r="Y473" i="25"/>
  <c r="Y88" i="25"/>
  <c r="Y75" i="25"/>
  <c r="X165" i="25"/>
  <c r="AA381" i="16"/>
  <c r="AA383" i="16" s="1"/>
  <c r="AA161" i="16" s="1"/>
  <c r="AA162" i="16" s="1"/>
  <c r="AB395" i="16"/>
  <c r="U122" i="16"/>
  <c r="U123" i="16" s="1"/>
  <c r="U114" i="16"/>
  <c r="U431" i="16" s="1"/>
  <c r="Z42" i="25"/>
  <c r="AA407" i="25"/>
  <c r="X121" i="25"/>
  <c r="T480" i="16"/>
  <c r="T463" i="16"/>
  <c r="Z129" i="25"/>
  <c r="Z438" i="16"/>
  <c r="Y441" i="16"/>
  <c r="Y121" i="16" s="1"/>
  <c r="Y471" i="16"/>
  <c r="Y474" i="16" s="1"/>
  <c r="Y346" i="25"/>
  <c r="Y164" i="25"/>
  <c r="Y161" i="25"/>
  <c r="Y162" i="25" s="1"/>
  <c r="Y375" i="25"/>
  <c r="X377" i="25"/>
  <c r="V211" i="16"/>
  <c r="V210" i="16"/>
  <c r="V217" i="16" s="1"/>
  <c r="AC216" i="25"/>
  <c r="AA395" i="25"/>
  <c r="Z381" i="25"/>
  <c r="Z383" i="25" s="1"/>
  <c r="W202" i="16"/>
  <c r="AC293" i="16"/>
  <c r="X98" i="16"/>
  <c r="U66" i="16"/>
  <c r="U50" i="16"/>
  <c r="X377" i="16"/>
  <c r="Y375" i="16"/>
  <c r="Z438" i="25"/>
  <c r="Y441" i="25"/>
  <c r="U98" i="25"/>
  <c r="U107" i="25" s="1"/>
  <c r="U111" i="25" s="1"/>
  <c r="U40" i="25"/>
  <c r="U41" i="25" s="1"/>
  <c r="V62" i="25"/>
  <c r="V66" i="25" s="1"/>
  <c r="T58" i="16"/>
  <c r="T57" i="16"/>
  <c r="AA46" i="25"/>
  <c r="X356" i="16"/>
  <c r="W358" i="16"/>
  <c r="W359" i="16" s="1"/>
  <c r="AC473" i="16"/>
  <c r="V206" i="16"/>
  <c r="AB205" i="16"/>
  <c r="AB219" i="16"/>
  <c r="X468" i="25"/>
  <c r="T131" i="25"/>
  <c r="T484" i="25" l="1"/>
  <c r="AC413" i="25"/>
  <c r="X481" i="25"/>
  <c r="AB407" i="25"/>
  <c r="AB63" i="25" s="1"/>
  <c r="AA458" i="16"/>
  <c r="AA55" i="16"/>
  <c r="W62" i="25"/>
  <c r="W66" i="25" s="1"/>
  <c r="X488" i="25"/>
  <c r="X491" i="25" s="1"/>
  <c r="X445" i="25"/>
  <c r="X446" i="25" s="1"/>
  <c r="X77" i="25"/>
  <c r="X461" i="25"/>
  <c r="Z40" i="16"/>
  <c r="Z41" i="16" s="1"/>
  <c r="AB50" i="25"/>
  <c r="X446" i="16"/>
  <c r="X120" i="16" s="1"/>
  <c r="X445" i="16"/>
  <c r="X488" i="16"/>
  <c r="X77" i="16"/>
  <c r="W120" i="25"/>
  <c r="W123" i="25" s="1"/>
  <c r="W102" i="25"/>
  <c r="W68" i="25"/>
  <c r="Y121" i="25"/>
  <c r="X100" i="16"/>
  <c r="V218" i="16"/>
  <c r="W204" i="16"/>
  <c r="V464" i="16"/>
  <c r="V75" i="16"/>
  <c r="W410" i="16"/>
  <c r="AN11" i="4"/>
  <c r="AO10" i="4"/>
  <c r="AA42" i="25"/>
  <c r="V461" i="16"/>
  <c r="V220" i="16"/>
  <c r="Z448" i="25"/>
  <c r="Y450" i="25"/>
  <c r="Y444" i="25" s="1"/>
  <c r="T125" i="16"/>
  <c r="T130" i="16" s="1"/>
  <c r="T53" i="16"/>
  <c r="Y356" i="16"/>
  <c r="X358" i="16"/>
  <c r="X359" i="16" s="1"/>
  <c r="AA438" i="25"/>
  <c r="Z441" i="25"/>
  <c r="Z465" i="25"/>
  <c r="Z90" i="25"/>
  <c r="Z386" i="25"/>
  <c r="Z109" i="25" s="1"/>
  <c r="AA438" i="16"/>
  <c r="Z441" i="16"/>
  <c r="Z121" i="16" s="1"/>
  <c r="AC395" i="16"/>
  <c r="AC381" i="16" s="1"/>
  <c r="AC383" i="16" s="1"/>
  <c r="AB381" i="16"/>
  <c r="AB383" i="16" s="1"/>
  <c r="V406" i="16"/>
  <c r="V405" i="16"/>
  <c r="V407" i="16" s="1"/>
  <c r="Y98" i="16"/>
  <c r="Y100" i="16" s="1"/>
  <c r="Y40" i="16"/>
  <c r="Y41" i="16" s="1"/>
  <c r="Z448" i="16"/>
  <c r="Y450" i="16"/>
  <c r="Y444" i="16" s="1"/>
  <c r="AA345" i="25"/>
  <c r="AB343" i="25"/>
  <c r="AA114" i="25"/>
  <c r="AA431" i="25" s="1"/>
  <c r="AB46" i="25"/>
  <c r="AA122" i="25"/>
  <c r="AC219" i="16"/>
  <c r="AC205" i="16"/>
  <c r="AA381" i="25"/>
  <c r="AA383" i="25" s="1"/>
  <c r="AB395" i="25"/>
  <c r="Z375" i="25"/>
  <c r="Y377" i="25"/>
  <c r="T469" i="16"/>
  <c r="T475" i="16"/>
  <c r="U129" i="16"/>
  <c r="U68" i="16"/>
  <c r="U102" i="16"/>
  <c r="AA386" i="16"/>
  <c r="AA109" i="16" s="1"/>
  <c r="AA90" i="16"/>
  <c r="AA465" i="16"/>
  <c r="AB161" i="16"/>
  <c r="AB162" i="16" s="1"/>
  <c r="AA88" i="16"/>
  <c r="Y165" i="25"/>
  <c r="Y166" i="25" s="1"/>
  <c r="AC204" i="25"/>
  <c r="Y468" i="25"/>
  <c r="W203" i="16"/>
  <c r="X358" i="25"/>
  <c r="X359" i="25" s="1"/>
  <c r="Y356" i="25"/>
  <c r="AA108" i="25"/>
  <c r="AB213" i="25"/>
  <c r="AB217" i="25"/>
  <c r="AB220" i="25" s="1"/>
  <c r="Z473" i="25"/>
  <c r="Z88" i="25"/>
  <c r="Z75" i="25"/>
  <c r="AC464" i="25"/>
  <c r="U223" i="25"/>
  <c r="T87" i="25"/>
  <c r="T76" i="25"/>
  <c r="T78" i="25" s="1"/>
  <c r="T79" i="25" s="1"/>
  <c r="AB71" i="25"/>
  <c r="W107" i="16"/>
  <c r="W62" i="16"/>
  <c r="U100" i="25"/>
  <c r="V98" i="25"/>
  <c r="Z375" i="16"/>
  <c r="Y377" i="16"/>
  <c r="Y458" i="25"/>
  <c r="Y55" i="25"/>
  <c r="Z346" i="25"/>
  <c r="Z164" i="25" s="1"/>
  <c r="T486" i="16"/>
  <c r="T499" i="16" s="1"/>
  <c r="T500" i="16" s="1"/>
  <c r="T483" i="16"/>
  <c r="T85" i="16" s="1"/>
  <c r="AA63" i="25"/>
  <c r="AA106" i="25"/>
  <c r="Z161" i="25"/>
  <c r="Z162" i="25" s="1"/>
  <c r="AC211" i="25"/>
  <c r="AC218" i="25" s="1"/>
  <c r="AC210" i="25"/>
  <c r="AA355" i="25"/>
  <c r="T59" i="25"/>
  <c r="T476" i="25"/>
  <c r="AB203" i="25"/>
  <c r="AC346" i="16"/>
  <c r="AC164" i="16" s="1"/>
  <c r="AC405" i="25"/>
  <c r="AC406" i="25"/>
  <c r="AC49" i="25" s="1"/>
  <c r="AC50" i="25" s="1"/>
  <c r="V213" i="16"/>
  <c r="AA165" i="16"/>
  <c r="AB165" i="16" s="1"/>
  <c r="Z471" i="16"/>
  <c r="Z474" i="16" s="1"/>
  <c r="T118" i="16"/>
  <c r="T131" i="16" s="1"/>
  <c r="T113" i="16"/>
  <c r="T115" i="16" s="1"/>
  <c r="T116" i="16" s="1"/>
  <c r="X166" i="25"/>
  <c r="V42" i="16" l="1"/>
  <c r="AB106" i="25"/>
  <c r="AC407" i="25"/>
  <c r="Y488" i="25"/>
  <c r="Y491" i="25" s="1"/>
  <c r="Y445" i="25"/>
  <c r="Y446" i="25" s="1"/>
  <c r="Y77" i="25"/>
  <c r="Y461" i="25"/>
  <c r="AC106" i="25"/>
  <c r="AC63" i="25"/>
  <c r="X120" i="25"/>
  <c r="X123" i="25" s="1"/>
  <c r="X102" i="25"/>
  <c r="X68" i="25"/>
  <c r="X62" i="25"/>
  <c r="X66" i="25" s="1"/>
  <c r="Y445" i="16"/>
  <c r="Y446" i="16" s="1"/>
  <c r="Y120" i="16" s="1"/>
  <c r="Y488" i="16"/>
  <c r="Y77" i="16"/>
  <c r="V63" i="16"/>
  <c r="V66" i="16" s="1"/>
  <c r="AC217" i="25"/>
  <c r="AC220" i="25" s="1"/>
  <c r="AC213" i="25"/>
  <c r="AC71" i="25"/>
  <c r="AB108" i="25"/>
  <c r="Z356" i="25"/>
  <c r="Y358" i="25"/>
  <c r="Y359" i="25" s="1"/>
  <c r="AA375" i="25"/>
  <c r="Z377" i="25"/>
  <c r="AA129" i="25"/>
  <c r="AB345" i="25"/>
  <c r="AC343" i="25"/>
  <c r="AC345" i="25" s="1"/>
  <c r="AB90" i="16"/>
  <c r="AB465" i="16"/>
  <c r="AB386" i="16"/>
  <c r="AB109" i="16" s="1"/>
  <c r="AB88" i="16"/>
  <c r="AC161" i="16"/>
  <c r="AC162" i="16" s="1"/>
  <c r="AB438" i="25"/>
  <c r="AA441" i="25"/>
  <c r="AA121" i="25" s="1"/>
  <c r="AO11" i="4"/>
  <c r="AP10" i="4"/>
  <c r="AC165" i="16"/>
  <c r="T87" i="16"/>
  <c r="T76" i="16"/>
  <c r="T78" i="16" s="1"/>
  <c r="T79" i="16" s="1"/>
  <c r="U223" i="16"/>
  <c r="AB458" i="16"/>
  <c r="AB166" i="16"/>
  <c r="AB55" i="16"/>
  <c r="AB471" i="16"/>
  <c r="AB474" i="16" s="1"/>
  <c r="AC395" i="25"/>
  <c r="AC381" i="25" s="1"/>
  <c r="AC383" i="25" s="1"/>
  <c r="AB381" i="25"/>
  <c r="AB383" i="25" s="1"/>
  <c r="AA88" i="25"/>
  <c r="AA473" i="25"/>
  <c r="AA75" i="25"/>
  <c r="AC465" i="16"/>
  <c r="AC90" i="16"/>
  <c r="AC386" i="16"/>
  <c r="AC88" i="16"/>
  <c r="Y358" i="16"/>
  <c r="Y359" i="16" s="1"/>
  <c r="Z356" i="16"/>
  <c r="V481" i="16"/>
  <c r="V468" i="16"/>
  <c r="Z98" i="16"/>
  <c r="V108" i="16"/>
  <c r="AB355" i="25"/>
  <c r="Z458" i="25"/>
  <c r="Z55" i="25"/>
  <c r="AA375" i="16"/>
  <c r="Z377" i="16"/>
  <c r="T82" i="25"/>
  <c r="T89" i="25"/>
  <c r="T92" i="25" s="1"/>
  <c r="Z165" i="25"/>
  <c r="Z166" i="25" s="1"/>
  <c r="T59" i="16"/>
  <c r="T476" i="16"/>
  <c r="AA90" i="25"/>
  <c r="AA386" i="25"/>
  <c r="AA109" i="25" s="1"/>
  <c r="AA465" i="25"/>
  <c r="V46" i="16"/>
  <c r="V49" i="16"/>
  <c r="V106" i="16" s="1"/>
  <c r="V111" i="16" s="1"/>
  <c r="V71" i="16"/>
  <c r="Z468" i="25"/>
  <c r="W209" i="16"/>
  <c r="W413" i="16"/>
  <c r="W408" i="16"/>
  <c r="W206" i="16"/>
  <c r="AA471" i="16"/>
  <c r="AA474" i="16" s="1"/>
  <c r="AA166" i="16"/>
  <c r="X98" i="25"/>
  <c r="X100" i="25" s="1"/>
  <c r="X40" i="25"/>
  <c r="X41" i="25" s="1"/>
  <c r="AB206" i="25"/>
  <c r="AB42" i="25" s="1"/>
  <c r="AC203" i="25"/>
  <c r="AC206" i="25" s="1"/>
  <c r="AC42" i="25" s="1"/>
  <c r="T484" i="16"/>
  <c r="AA346" i="25"/>
  <c r="AA164" i="25" s="1"/>
  <c r="Y40" i="25"/>
  <c r="Y41" i="25" s="1"/>
  <c r="V100" i="25"/>
  <c r="W98" i="25"/>
  <c r="V107" i="25"/>
  <c r="V111" i="25" s="1"/>
  <c r="U462" i="25"/>
  <c r="U60" i="25"/>
  <c r="U56" i="25"/>
  <c r="AA161" i="25"/>
  <c r="AA162" i="25" s="1"/>
  <c r="AC46" i="25"/>
  <c r="AB114" i="25"/>
  <c r="AB431" i="25" s="1"/>
  <c r="AB122" i="25"/>
  <c r="AA448" i="16"/>
  <c r="Z450" i="16"/>
  <c r="Z444" i="16" s="1"/>
  <c r="AB438" i="16"/>
  <c r="AA441" i="16"/>
  <c r="AA121" i="16" s="1"/>
  <c r="Z121" i="25"/>
  <c r="X107" i="16"/>
  <c r="X62" i="16"/>
  <c r="Z450" i="25"/>
  <c r="Z444" i="25" s="1"/>
  <c r="AA448" i="25"/>
  <c r="Y471" i="25"/>
  <c r="Y98" i="25" l="1"/>
  <c r="Y100" i="25" s="1"/>
  <c r="AB161" i="25"/>
  <c r="AB162" i="25" s="1"/>
  <c r="AB129" i="25"/>
  <c r="Z446" i="16"/>
  <c r="Z120" i="16" s="1"/>
  <c r="Z488" i="16"/>
  <c r="Z445" i="16"/>
  <c r="Z77" i="16"/>
  <c r="Z445" i="25"/>
  <c r="Z446" i="25" s="1"/>
  <c r="Z488" i="25"/>
  <c r="Z491" i="25" s="1"/>
  <c r="AA444" i="25"/>
  <c r="Z461" i="25"/>
  <c r="Z77" i="25"/>
  <c r="Y107" i="16"/>
  <c r="Y62" i="16"/>
  <c r="AB458" i="25"/>
  <c r="AB55" i="25"/>
  <c r="Y107" i="25"/>
  <c r="Y111" i="25" s="1"/>
  <c r="Y62" i="25"/>
  <c r="Y66" i="25" s="1"/>
  <c r="AB448" i="25"/>
  <c r="AA450" i="25"/>
  <c r="AC438" i="16"/>
  <c r="AC441" i="16" s="1"/>
  <c r="AB441" i="16"/>
  <c r="AB121" i="16" s="1"/>
  <c r="AA458" i="25"/>
  <c r="AA55" i="25"/>
  <c r="AA98" i="16"/>
  <c r="AA100" i="16" s="1"/>
  <c r="AA40" i="16"/>
  <c r="AA41" i="16" s="1"/>
  <c r="V114" i="16"/>
  <c r="V431" i="16" s="1"/>
  <c r="V122" i="16"/>
  <c r="V123" i="16" s="1"/>
  <c r="AA165" i="25"/>
  <c r="T84" i="25"/>
  <c r="T83" i="25"/>
  <c r="Z471" i="25"/>
  <c r="U462" i="16"/>
  <c r="U493" i="16" s="1"/>
  <c r="U498" i="16" s="1"/>
  <c r="U60" i="16"/>
  <c r="U56" i="16"/>
  <c r="AC458" i="16"/>
  <c r="AC166" i="16"/>
  <c r="AC55" i="16"/>
  <c r="AC471" i="16"/>
  <c r="AC474" i="16" s="1"/>
  <c r="AA377" i="25"/>
  <c r="AB375" i="25"/>
  <c r="X107" i="25"/>
  <c r="X111" i="25" s="1"/>
  <c r="U493" i="25"/>
  <c r="U498" i="25" s="1"/>
  <c r="W100" i="25"/>
  <c r="W107" i="25"/>
  <c r="W111" i="25" s="1"/>
  <c r="W491" i="16"/>
  <c r="W216" i="16"/>
  <c r="X202" i="16" s="1"/>
  <c r="AA471" i="25"/>
  <c r="AA474" i="25" s="1"/>
  <c r="AA356" i="16"/>
  <c r="Z358" i="16"/>
  <c r="Z359" i="16"/>
  <c r="AC109" i="16"/>
  <c r="Y474" i="25"/>
  <c r="Y481" i="25"/>
  <c r="AC114" i="25"/>
  <c r="AC431" i="25" s="1"/>
  <c r="AC122" i="25"/>
  <c r="U58" i="25"/>
  <c r="U57" i="25"/>
  <c r="U480" i="25"/>
  <c r="U463" i="25"/>
  <c r="AB346" i="25"/>
  <c r="AB164" i="25" s="1"/>
  <c r="W404" i="16"/>
  <c r="W411" i="16"/>
  <c r="AA481" i="25"/>
  <c r="AA468" i="25"/>
  <c r="AA377" i="16"/>
  <c r="AB375" i="16"/>
  <c r="AC355" i="25"/>
  <c r="AB471" i="25"/>
  <c r="Z100" i="16"/>
  <c r="AB386" i="25"/>
  <c r="AB109" i="25" s="1"/>
  <c r="AB465" i="25"/>
  <c r="AB90" i="25"/>
  <c r="T89" i="16"/>
  <c r="T92" i="16" s="1"/>
  <c r="T82" i="16"/>
  <c r="AC438" i="25"/>
  <c r="AC441" i="25" s="1"/>
  <c r="AB441" i="25"/>
  <c r="AB121" i="25" s="1"/>
  <c r="AC88" i="25"/>
  <c r="AC473" i="25"/>
  <c r="AC75" i="25"/>
  <c r="AC108" i="25"/>
  <c r="AA450" i="16"/>
  <c r="AA444" i="16" s="1"/>
  <c r="AB448" i="16"/>
  <c r="W211" i="16"/>
  <c r="W210" i="16"/>
  <c r="W213" i="16" s="1"/>
  <c r="V50" i="16"/>
  <c r="T5" i="25"/>
  <c r="T6" i="25" s="1"/>
  <c r="T477" i="25"/>
  <c r="Z98" i="25"/>
  <c r="Z100" i="25" s="1"/>
  <c r="Z40" i="25"/>
  <c r="Z41" i="25" s="1"/>
  <c r="AC386" i="25"/>
  <c r="AC109" i="25" s="1"/>
  <c r="AC465" i="25"/>
  <c r="AC90" i="25"/>
  <c r="AB98" i="16"/>
  <c r="AB100" i="16" s="1"/>
  <c r="AB40" i="16"/>
  <c r="AB41" i="16" s="1"/>
  <c r="AQ10" i="4"/>
  <c r="AP11" i="4"/>
  <c r="AB473" i="25"/>
  <c r="AB88" i="25"/>
  <c r="AB75" i="25"/>
  <c r="AC161" i="25"/>
  <c r="AC162" i="25" s="1"/>
  <c r="Z358" i="25"/>
  <c r="Z359" i="25" s="1"/>
  <c r="AA356" i="25"/>
  <c r="Y120" i="25"/>
  <c r="Y123" i="25" s="1"/>
  <c r="Y68" i="25"/>
  <c r="Y102" i="25"/>
  <c r="AC121" i="16" l="1"/>
  <c r="AC129" i="25"/>
  <c r="AA445" i="16"/>
  <c r="AA446" i="16" s="1"/>
  <c r="AA120" i="16" s="1"/>
  <c r="AA488" i="16"/>
  <c r="AA77" i="16"/>
  <c r="W108" i="16"/>
  <c r="AC468" i="25"/>
  <c r="T84" i="16"/>
  <c r="T83" i="16"/>
  <c r="AC346" i="25"/>
  <c r="AC164" i="25" s="1"/>
  <c r="U486" i="25"/>
  <c r="U499" i="25" s="1"/>
  <c r="U483" i="25"/>
  <c r="U85" i="25" s="1"/>
  <c r="AC458" i="25"/>
  <c r="AC471" i="25" s="1"/>
  <c r="AC55" i="25"/>
  <c r="W217" i="16"/>
  <c r="AB450" i="16"/>
  <c r="AB444" i="16" s="1"/>
  <c r="AC448" i="16"/>
  <c r="AC450" i="16" s="1"/>
  <c r="T5" i="16"/>
  <c r="T6" i="16" s="1"/>
  <c r="T477" i="16"/>
  <c r="AB481" i="25"/>
  <c r="AB468" i="25"/>
  <c r="AC375" i="16"/>
  <c r="AC377" i="16" s="1"/>
  <c r="AB377" i="16"/>
  <c r="U500" i="25"/>
  <c r="Z107" i="16"/>
  <c r="Z62" i="16"/>
  <c r="W461" i="16"/>
  <c r="AC98" i="16"/>
  <c r="AC100" i="16" s="1"/>
  <c r="AC40" i="16"/>
  <c r="AC41" i="16" s="1"/>
  <c r="Z474" i="25"/>
  <c r="Z481" i="25"/>
  <c r="T67" i="25"/>
  <c r="T69" i="25" s="1"/>
  <c r="T70" i="25" s="1"/>
  <c r="U225" i="25"/>
  <c r="U224" i="25"/>
  <c r="U227" i="25" s="1"/>
  <c r="U226" i="25"/>
  <c r="V129" i="16"/>
  <c r="V68" i="16"/>
  <c r="V102" i="16"/>
  <c r="AC448" i="25"/>
  <c r="AC450" i="25" s="1"/>
  <c r="AB450" i="25"/>
  <c r="Z107" i="25"/>
  <c r="Z111" i="25" s="1"/>
  <c r="Z62" i="25"/>
  <c r="Z66" i="25" s="1"/>
  <c r="W218" i="16"/>
  <c r="X204" i="16" s="1"/>
  <c r="AB474" i="25"/>
  <c r="W406" i="16"/>
  <c r="W405" i="16"/>
  <c r="AB165" i="25"/>
  <c r="AB166" i="25" s="1"/>
  <c r="AA445" i="25"/>
  <c r="AA446" i="25" s="1"/>
  <c r="AB444" i="25"/>
  <c r="AA488" i="25"/>
  <c r="AA491" i="25" s="1"/>
  <c r="AA461" i="25"/>
  <c r="AA77" i="25"/>
  <c r="AB356" i="25"/>
  <c r="AA358" i="25"/>
  <c r="AA359" i="25" s="1"/>
  <c r="AR10" i="4"/>
  <c r="AQ11" i="4"/>
  <c r="AC121" i="25"/>
  <c r="W464" i="16"/>
  <c r="W407" i="16"/>
  <c r="W75" i="16"/>
  <c r="X410" i="16"/>
  <c r="U469" i="25"/>
  <c r="U475" i="25"/>
  <c r="AB356" i="16"/>
  <c r="AA358" i="16"/>
  <c r="AA359" i="16" s="1"/>
  <c r="AB377" i="25"/>
  <c r="AC375" i="25"/>
  <c r="AC377" i="25" s="1"/>
  <c r="U57" i="16"/>
  <c r="U58" i="16"/>
  <c r="U480" i="16"/>
  <c r="U463" i="16"/>
  <c r="AA166" i="25"/>
  <c r="Z120" i="25"/>
  <c r="Z123" i="25" s="1"/>
  <c r="Z68" i="25"/>
  <c r="Z102" i="25"/>
  <c r="W220" i="16" l="1"/>
  <c r="W42" i="16" s="1"/>
  <c r="AA120" i="25"/>
  <c r="AA123" i="25" s="1"/>
  <c r="AA68" i="25"/>
  <c r="AA102" i="25"/>
  <c r="AB40" i="25"/>
  <c r="AB41" i="25" s="1"/>
  <c r="AB445" i="16"/>
  <c r="AB446" i="16" s="1"/>
  <c r="AB120" i="16" s="1"/>
  <c r="AB488" i="16"/>
  <c r="AC444" i="16"/>
  <c r="AB77" i="16"/>
  <c r="AA62" i="25"/>
  <c r="AA66" i="25" s="1"/>
  <c r="AC474" i="25"/>
  <c r="AC481" i="25"/>
  <c r="AA107" i="16"/>
  <c r="AA62" i="16"/>
  <c r="U500" i="16"/>
  <c r="AB358" i="25"/>
  <c r="AB359" i="25" s="1"/>
  <c r="AC356" i="25"/>
  <c r="U44" i="25"/>
  <c r="U45" i="25" s="1"/>
  <c r="U47" i="25" s="1"/>
  <c r="U52" i="25" s="1"/>
  <c r="U103" i="25"/>
  <c r="U104" i="25" s="1"/>
  <c r="U105" i="25" s="1"/>
  <c r="U54" i="25"/>
  <c r="U76" i="25"/>
  <c r="U78" i="25" s="1"/>
  <c r="U79" i="25" s="1"/>
  <c r="V223" i="25"/>
  <c r="U87" i="25"/>
  <c r="U59" i="25"/>
  <c r="U476" i="25"/>
  <c r="W481" i="16"/>
  <c r="W468" i="16"/>
  <c r="W46" i="16"/>
  <c r="W71" i="16"/>
  <c r="W49" i="16"/>
  <c r="X203" i="16"/>
  <c r="X209" i="16"/>
  <c r="X413" i="16"/>
  <c r="X408" i="16"/>
  <c r="AC444" i="25"/>
  <c r="AB446" i="25"/>
  <c r="AB488" i="25"/>
  <c r="AB491" i="25" s="1"/>
  <c r="AB445" i="25"/>
  <c r="AB77" i="25"/>
  <c r="AB461" i="25"/>
  <c r="T67" i="16"/>
  <c r="T69" i="16" s="1"/>
  <c r="T70" i="16" s="1"/>
  <c r="U224" i="16"/>
  <c r="U226" i="16"/>
  <c r="U225" i="16"/>
  <c r="U475" i="16"/>
  <c r="U469" i="16"/>
  <c r="AB358" i="16"/>
  <c r="AB359" i="16" s="1"/>
  <c r="AC356" i="16"/>
  <c r="AR11" i="4"/>
  <c r="AS10" i="4"/>
  <c r="AA98" i="25"/>
  <c r="AA100" i="25" s="1"/>
  <c r="AA40" i="25"/>
  <c r="AA41" i="25" s="1"/>
  <c r="U486" i="16"/>
  <c r="U499" i="16" s="1"/>
  <c r="U483" i="16"/>
  <c r="U85" i="16" s="1"/>
  <c r="W106" i="16"/>
  <c r="W111" i="16" s="1"/>
  <c r="W63" i="16"/>
  <c r="W66" i="16" s="1"/>
  <c r="AC165" i="25"/>
  <c r="AC166" i="25" s="1"/>
  <c r="T72" i="25"/>
  <c r="T73" i="25"/>
  <c r="U484" i="25"/>
  <c r="U125" i="25" l="1"/>
  <c r="U130" i="25" s="1"/>
  <c r="AB107" i="16"/>
  <c r="AB62" i="16"/>
  <c r="AC40" i="25"/>
  <c r="AC41" i="25" s="1"/>
  <c r="AS11" i="4"/>
  <c r="AT10" i="4"/>
  <c r="X210" i="16"/>
  <c r="X217" i="16" s="1"/>
  <c r="X211" i="16"/>
  <c r="U53" i="25"/>
  <c r="AC488" i="16"/>
  <c r="AC445" i="16"/>
  <c r="AC446" i="16" s="1"/>
  <c r="AC120" i="16" s="1"/>
  <c r="AC77" i="16"/>
  <c r="AB62" i="25"/>
  <c r="AB66" i="25" s="1"/>
  <c r="AC358" i="16"/>
  <c r="AC359" i="16" s="1"/>
  <c r="X206" i="16"/>
  <c r="AB120" i="25"/>
  <c r="AB123" i="25" s="1"/>
  <c r="AB102" i="25"/>
  <c r="AB68" i="25"/>
  <c r="X491" i="16"/>
  <c r="X216" i="16"/>
  <c r="Y202" i="16" s="1"/>
  <c r="W114" i="16"/>
  <c r="W431" i="16" s="1"/>
  <c r="W122" i="16"/>
  <c r="W123" i="16" s="1"/>
  <c r="U82" i="25"/>
  <c r="U89" i="25"/>
  <c r="U92" i="25" s="1"/>
  <c r="U476" i="16"/>
  <c r="U59" i="16"/>
  <c r="U227" i="16"/>
  <c r="AC488" i="25"/>
  <c r="AC491" i="25" s="1"/>
  <c r="AC445" i="25"/>
  <c r="AC446" i="25" s="1"/>
  <c r="AC77" i="25"/>
  <c r="AC461" i="25"/>
  <c r="V462" i="25"/>
  <c r="V493" i="25" s="1"/>
  <c r="V498" i="25" s="1"/>
  <c r="V60" i="25"/>
  <c r="V56" i="25"/>
  <c r="AC358" i="25"/>
  <c r="AC359" i="25" s="1"/>
  <c r="AA107" i="25"/>
  <c r="AA111" i="25" s="1"/>
  <c r="U87" i="16"/>
  <c r="U76" i="16"/>
  <c r="U78" i="16" s="1"/>
  <c r="U79" i="16" s="1"/>
  <c r="V223" i="16"/>
  <c r="U484" i="16"/>
  <c r="T72" i="16"/>
  <c r="T73" i="16"/>
  <c r="X411" i="16"/>
  <c r="X404" i="16"/>
  <c r="W50" i="16"/>
  <c r="U118" i="25"/>
  <c r="U131" i="25" s="1"/>
  <c r="U113" i="25"/>
  <c r="U115" i="25" s="1"/>
  <c r="U116" i="25" s="1"/>
  <c r="AB98" i="25"/>
  <c r="AB107" i="25" s="1"/>
  <c r="AB111" i="25" s="1"/>
  <c r="AC107" i="16" l="1"/>
  <c r="AC62" i="16"/>
  <c r="AC120" i="25"/>
  <c r="AC123" i="25" s="1"/>
  <c r="AC68" i="25"/>
  <c r="AC102" i="25"/>
  <c r="AC62" i="25"/>
  <c r="AC66" i="25" s="1"/>
  <c r="U103" i="16"/>
  <c r="U104" i="16" s="1"/>
  <c r="U105" i="16" s="1"/>
  <c r="U44" i="16"/>
  <c r="U45" i="16" s="1"/>
  <c r="U47" i="16" s="1"/>
  <c r="U52" i="16" s="1"/>
  <c r="U54" i="16"/>
  <c r="AB100" i="25"/>
  <c r="X464" i="16"/>
  <c r="X75" i="16"/>
  <c r="Y410" i="16"/>
  <c r="U5" i="25"/>
  <c r="U6" i="25" s="1"/>
  <c r="U477" i="25"/>
  <c r="V462" i="16"/>
  <c r="V60" i="16"/>
  <c r="V56" i="16"/>
  <c r="U83" i="25"/>
  <c r="W129" i="16"/>
  <c r="W68" i="16"/>
  <c r="W102" i="16"/>
  <c r="Y203" i="16"/>
  <c r="AT11" i="4"/>
  <c r="AU10" i="4"/>
  <c r="AC98" i="25"/>
  <c r="X406" i="16"/>
  <c r="X405" i="16"/>
  <c r="U82" i="16"/>
  <c r="U89" i="16"/>
  <c r="U92" i="16" s="1"/>
  <c r="V58" i="25"/>
  <c r="V57" i="25"/>
  <c r="V480" i="25"/>
  <c r="V463" i="25"/>
  <c r="U84" i="25"/>
  <c r="X213" i="16"/>
  <c r="X461" i="16"/>
  <c r="X218" i="16"/>
  <c r="X220" i="16" s="1"/>
  <c r="X407" i="16" l="1"/>
  <c r="X63" i="16" s="1"/>
  <c r="X66" i="16" s="1"/>
  <c r="U125" i="16"/>
  <c r="U130" i="16" s="1"/>
  <c r="X42" i="16"/>
  <c r="Y204" i="16"/>
  <c r="Y206" i="16" s="1"/>
  <c r="X108" i="16"/>
  <c r="AC100" i="25"/>
  <c r="V493" i="16"/>
  <c r="V498" i="16" s="1"/>
  <c r="Y209" i="16"/>
  <c r="Y413" i="16"/>
  <c r="Y408" i="16"/>
  <c r="X481" i="16"/>
  <c r="X468" i="16"/>
  <c r="V226" i="25"/>
  <c r="V225" i="25"/>
  <c r="V224" i="25"/>
  <c r="U67" i="25"/>
  <c r="U69" i="25" s="1"/>
  <c r="U70" i="25" s="1"/>
  <c r="X71" i="16"/>
  <c r="X46" i="16"/>
  <c r="X49" i="16"/>
  <c r="AU11" i="4"/>
  <c r="AV10" i="4"/>
  <c r="U53" i="16"/>
  <c r="V475" i="25"/>
  <c r="V469" i="25"/>
  <c r="U5" i="16"/>
  <c r="U6" i="16" s="1"/>
  <c r="U477" i="16"/>
  <c r="V486" i="25"/>
  <c r="V499" i="25" s="1"/>
  <c r="V500" i="25" s="1"/>
  <c r="V483" i="25"/>
  <c r="V85" i="25" s="1"/>
  <c r="V57" i="16"/>
  <c r="V58" i="16"/>
  <c r="V463" i="16"/>
  <c r="V480" i="16"/>
  <c r="U116" i="16"/>
  <c r="U118" i="16"/>
  <c r="U131" i="16" s="1"/>
  <c r="U113" i="16"/>
  <c r="U115" i="16" s="1"/>
  <c r="AC107" i="25"/>
  <c r="AC111" i="25" s="1"/>
  <c r="U83" i="16" l="1"/>
  <c r="U84" i="16" s="1"/>
  <c r="U67" i="16" s="1"/>
  <c r="U69" i="16" s="1"/>
  <c r="U70" i="16" s="1"/>
  <c r="V225" i="16"/>
  <c r="V226" i="16"/>
  <c r="V486" i="16"/>
  <c r="V499" i="16" s="1"/>
  <c r="V483" i="16"/>
  <c r="V85" i="16" s="1"/>
  <c r="V476" i="25"/>
  <c r="V59" i="25"/>
  <c r="X50" i="16"/>
  <c r="V227" i="25"/>
  <c r="Y211" i="16"/>
  <c r="Y218" i="16" s="1"/>
  <c r="Z204" i="16" s="1"/>
  <c r="Y210" i="16"/>
  <c r="Y213" i="16" s="1"/>
  <c r="V469" i="16"/>
  <c r="V475" i="16"/>
  <c r="X114" i="16"/>
  <c r="X431" i="16" s="1"/>
  <c r="X122" i="16"/>
  <c r="X123" i="16" s="1"/>
  <c r="Y491" i="16"/>
  <c r="Y216" i="16"/>
  <c r="V87" i="25"/>
  <c r="W223" i="25"/>
  <c r="V76" i="25"/>
  <c r="V78" i="25" s="1"/>
  <c r="V79" i="25" s="1"/>
  <c r="AW10" i="4"/>
  <c r="AV11" i="4"/>
  <c r="X106" i="16"/>
  <c r="X111" i="16" s="1"/>
  <c r="V500" i="16"/>
  <c r="V484" i="25"/>
  <c r="U72" i="25"/>
  <c r="U73" i="25"/>
  <c r="Y404" i="16"/>
  <c r="Y411" i="16"/>
  <c r="V224" i="16" l="1"/>
  <c r="V227" i="16" s="1"/>
  <c r="Y108" i="16"/>
  <c r="Y406" i="16"/>
  <c r="Y407" i="16" s="1"/>
  <c r="Y405" i="16"/>
  <c r="W462" i="25"/>
  <c r="W60" i="25"/>
  <c r="W56" i="25"/>
  <c r="W493" i="25"/>
  <c r="W498" i="25" s="1"/>
  <c r="X129" i="16"/>
  <c r="X68" i="16"/>
  <c r="X102" i="16"/>
  <c r="Y464" i="16"/>
  <c r="Y75" i="16"/>
  <c r="Z410" i="16"/>
  <c r="Y461" i="16"/>
  <c r="Y217" i="16"/>
  <c r="Y220" i="16" s="1"/>
  <c r="Z203" i="16"/>
  <c r="V76" i="16"/>
  <c r="V78" i="16" s="1"/>
  <c r="V79" i="16" s="1"/>
  <c r="W223" i="16"/>
  <c r="V87" i="16"/>
  <c r="V103" i="16"/>
  <c r="V104" i="16" s="1"/>
  <c r="V105" i="16" s="1"/>
  <c r="V44" i="16"/>
  <c r="V45" i="16" s="1"/>
  <c r="V47" i="16" s="1"/>
  <c r="V52" i="16" s="1"/>
  <c r="V54" i="16"/>
  <c r="V82" i="25"/>
  <c r="V89" i="25"/>
  <c r="V92" i="25" s="1"/>
  <c r="AX10" i="4"/>
  <c r="AW11" i="4"/>
  <c r="Z202" i="16"/>
  <c r="V476" i="16"/>
  <c r="V59" i="16"/>
  <c r="V484" i="16"/>
  <c r="V103" i="25"/>
  <c r="V104" i="25" s="1"/>
  <c r="V105" i="25" s="1"/>
  <c r="V44" i="25"/>
  <c r="V45" i="25" s="1"/>
  <c r="V47" i="25" s="1"/>
  <c r="V52" i="25" s="1"/>
  <c r="V54" i="25"/>
  <c r="U72" i="16"/>
  <c r="U73" i="16"/>
  <c r="V125" i="16" l="1"/>
  <c r="V130" i="16" s="1"/>
  <c r="V53" i="25"/>
  <c r="Z206" i="16"/>
  <c r="V89" i="16"/>
  <c r="V92" i="16" s="1"/>
  <c r="V82" i="16"/>
  <c r="W480" i="25"/>
  <c r="W463" i="25"/>
  <c r="Y46" i="16"/>
  <c r="Y49" i="16"/>
  <c r="Y71" i="16"/>
  <c r="V118" i="25"/>
  <c r="V113" i="25"/>
  <c r="V115" i="25" s="1"/>
  <c r="V116" i="25" s="1"/>
  <c r="V5" i="25"/>
  <c r="V6" i="25" s="1"/>
  <c r="V477" i="25"/>
  <c r="W462" i="16"/>
  <c r="W60" i="16"/>
  <c r="W493" i="16"/>
  <c r="W498" i="16" s="1"/>
  <c r="W56" i="16"/>
  <c r="Y106" i="16"/>
  <c r="Y111" i="16" s="1"/>
  <c r="Y63" i="16"/>
  <c r="Y66" i="16" s="1"/>
  <c r="W57" i="25"/>
  <c r="W58" i="25"/>
  <c r="V125" i="25"/>
  <c r="V130" i="25" s="1"/>
  <c r="V83" i="25"/>
  <c r="V84" i="25" s="1"/>
  <c r="AX11" i="4"/>
  <c r="AY10" i="4"/>
  <c r="V53" i="16"/>
  <c r="Y481" i="16"/>
  <c r="Y468" i="16"/>
  <c r="V118" i="16"/>
  <c r="V131" i="16" s="1"/>
  <c r="V113" i="16"/>
  <c r="V115" i="16" s="1"/>
  <c r="V116" i="16" s="1"/>
  <c r="Z413" i="16"/>
  <c r="Z209" i="16"/>
  <c r="Z408" i="16"/>
  <c r="Y42" i="16"/>
  <c r="V83" i="16" l="1"/>
  <c r="V84" i="16" s="1"/>
  <c r="V131" i="25"/>
  <c r="W500" i="25"/>
  <c r="W57" i="16"/>
  <c r="W58" i="16"/>
  <c r="W486" i="25"/>
  <c r="W499" i="25" s="1"/>
  <c r="W483" i="25"/>
  <c r="W85" i="25" s="1"/>
  <c r="V5" i="16"/>
  <c r="V6" i="16" s="1"/>
  <c r="V477" i="16"/>
  <c r="Z411" i="16"/>
  <c r="Z404" i="16"/>
  <c r="Z210" i="16"/>
  <c r="Z211" i="16"/>
  <c r="W463" i="16"/>
  <c r="W480" i="16"/>
  <c r="Y50" i="16"/>
  <c r="V67" i="25"/>
  <c r="V69" i="25" s="1"/>
  <c r="V70" i="25" s="1"/>
  <c r="W224" i="25"/>
  <c r="W226" i="25"/>
  <c r="W225" i="25"/>
  <c r="Y122" i="16"/>
  <c r="Y123" i="16" s="1"/>
  <c r="Y114" i="16"/>
  <c r="Y431" i="16" s="1"/>
  <c r="Z213" i="16"/>
  <c r="Z491" i="16"/>
  <c r="Z216" i="16"/>
  <c r="AA202" i="16" s="1"/>
  <c r="AY11" i="4"/>
  <c r="AZ10" i="4"/>
  <c r="W469" i="25"/>
  <c r="W475" i="25"/>
  <c r="Z464" i="16" l="1"/>
  <c r="Z75" i="16"/>
  <c r="AA410" i="16"/>
  <c r="W59" i="25"/>
  <c r="W476" i="25"/>
  <c r="Z218" i="16"/>
  <c r="AA204" i="16"/>
  <c r="Z406" i="16"/>
  <c r="Z405" i="16"/>
  <c r="Z407" i="16" s="1"/>
  <c r="W484" i="25"/>
  <c r="V67" i="16"/>
  <c r="V69" i="16" s="1"/>
  <c r="V70" i="16" s="1"/>
  <c r="W226" i="16"/>
  <c r="W224" i="16"/>
  <c r="W225" i="16"/>
  <c r="AZ11" i="4"/>
  <c r="BA10" i="4"/>
  <c r="Y129" i="16"/>
  <c r="Y68" i="16"/>
  <c r="Y102" i="16"/>
  <c r="W227" i="25"/>
  <c r="W486" i="16"/>
  <c r="W499" i="16" s="1"/>
  <c r="W500" i="16" s="1"/>
  <c r="W483" i="16"/>
  <c r="W85" i="16" s="1"/>
  <c r="Z217" i="16"/>
  <c r="AA203" i="16" s="1"/>
  <c r="Z108" i="16"/>
  <c r="V72" i="25"/>
  <c r="V73" i="25"/>
  <c r="W469" i="16"/>
  <c r="W475" i="16"/>
  <c r="Z461" i="16"/>
  <c r="Z220" i="16"/>
  <c r="Z42" i="16" s="1"/>
  <c r="X223" i="25"/>
  <c r="W76" i="25"/>
  <c r="W78" i="25" s="1"/>
  <c r="W79" i="25" s="1"/>
  <c r="W87" i="25"/>
  <c r="Z63" i="16" l="1"/>
  <c r="Z66" i="16" s="1"/>
  <c r="W89" i="25"/>
  <c r="W92" i="25" s="1"/>
  <c r="W82" i="25"/>
  <c r="Z71" i="16"/>
  <c r="Z49" i="16"/>
  <c r="Z46" i="16"/>
  <c r="AA209" i="16"/>
  <c r="AA413" i="16"/>
  <c r="AA408" i="16"/>
  <c r="W44" i="25"/>
  <c r="W45" i="25" s="1"/>
  <c r="W47" i="25" s="1"/>
  <c r="W52" i="25" s="1"/>
  <c r="W103" i="25"/>
  <c r="W104" i="25" s="1"/>
  <c r="W105" i="25" s="1"/>
  <c r="W54" i="25"/>
  <c r="W227" i="16"/>
  <c r="X462" i="25"/>
  <c r="X60" i="25"/>
  <c r="X56" i="25"/>
  <c r="W76" i="16"/>
  <c r="W78" i="16" s="1"/>
  <c r="W79" i="16" s="1"/>
  <c r="W87" i="16"/>
  <c r="X223" i="16"/>
  <c r="BA11" i="4"/>
  <c r="BB10" i="4"/>
  <c r="Z481" i="16"/>
  <c r="Z468" i="16"/>
  <c r="W476" i="16"/>
  <c r="W59" i="16"/>
  <c r="W484" i="16"/>
  <c r="V72" i="16"/>
  <c r="V73" i="16"/>
  <c r="AA206" i="16"/>
  <c r="X493" i="25" l="1"/>
  <c r="X498" i="25" s="1"/>
  <c r="W125" i="25"/>
  <c r="W130" i="25" s="1"/>
  <c r="AA211" i="16"/>
  <c r="AA210" i="16"/>
  <c r="Z50" i="16"/>
  <c r="X462" i="16"/>
  <c r="X60" i="16"/>
  <c r="X493" i="16"/>
  <c r="X498" i="16" s="1"/>
  <c r="X56" i="16"/>
  <c r="X57" i="25"/>
  <c r="X58" i="25"/>
  <c r="X463" i="25"/>
  <c r="X480" i="25"/>
  <c r="W5" i="25"/>
  <c r="W6" i="25" s="1"/>
  <c r="W477" i="25"/>
  <c r="BC10" i="4"/>
  <c r="BB11" i="4"/>
  <c r="W89" i="16"/>
  <c r="W92" i="16" s="1"/>
  <c r="W82" i="16"/>
  <c r="W118" i="25"/>
  <c r="W131" i="25" s="1"/>
  <c r="W113" i="25"/>
  <c r="W115" i="25" s="1"/>
  <c r="W116" i="25" s="1"/>
  <c r="AA491" i="16"/>
  <c r="AB202" i="16"/>
  <c r="AA216" i="16"/>
  <c r="W103" i="16"/>
  <c r="W104" i="16" s="1"/>
  <c r="W105" i="16" s="1"/>
  <c r="W44" i="16"/>
  <c r="W45" i="16" s="1"/>
  <c r="W47" i="16" s="1"/>
  <c r="W52" i="16" s="1"/>
  <c r="W54" i="16"/>
  <c r="W125" i="16"/>
  <c r="W130" i="16" s="1"/>
  <c r="W53" i="25"/>
  <c r="AA411" i="16"/>
  <c r="AA404" i="16"/>
  <c r="Z122" i="16"/>
  <c r="Z123" i="16" s="1"/>
  <c r="Z114" i="16"/>
  <c r="Z431" i="16" s="1"/>
  <c r="Z106" i="16"/>
  <c r="Z111" i="16" s="1"/>
  <c r="AA213" i="16" l="1"/>
  <c r="AA108" i="16"/>
  <c r="W83" i="25"/>
  <c r="W84" i="25" s="1"/>
  <c r="AA464" i="16"/>
  <c r="AA75" i="16"/>
  <c r="AB410" i="16"/>
  <c r="W53" i="16"/>
  <c r="AA461" i="16"/>
  <c r="BC11" i="4"/>
  <c r="BD10" i="4"/>
  <c r="X486" i="25"/>
  <c r="X499" i="25" s="1"/>
  <c r="X500" i="25" s="1"/>
  <c r="X483" i="25"/>
  <c r="X85" i="25" s="1"/>
  <c r="X58" i="16"/>
  <c r="X57" i="16"/>
  <c r="X463" i="16"/>
  <c r="X480" i="16"/>
  <c r="Z129" i="16"/>
  <c r="Z68" i="16"/>
  <c r="Z102" i="16"/>
  <c r="AA405" i="16"/>
  <c r="AA406" i="16"/>
  <c r="W118" i="16"/>
  <c r="W131" i="16" s="1"/>
  <c r="W113" i="16"/>
  <c r="W115" i="16" s="1"/>
  <c r="W116" i="16" s="1"/>
  <c r="X475" i="25"/>
  <c r="X469" i="25"/>
  <c r="AA217" i="16"/>
  <c r="W5" i="16"/>
  <c r="W6" i="16" s="1"/>
  <c r="W477" i="16"/>
  <c r="AA218" i="16"/>
  <c r="AB204" i="16" s="1"/>
  <c r="X484" i="25" l="1"/>
  <c r="AA407" i="16"/>
  <c r="AA220" i="16"/>
  <c r="AA42" i="16"/>
  <c r="AA63" i="16"/>
  <c r="AA66" i="16" s="1"/>
  <c r="X59" i="25"/>
  <c r="X476" i="25"/>
  <c r="BE10" i="4"/>
  <c r="BD11" i="4"/>
  <c r="X224" i="25"/>
  <c r="X225" i="25"/>
  <c r="W67" i="25"/>
  <c r="W69" i="25" s="1"/>
  <c r="W70" i="25" s="1"/>
  <c r="X226" i="25"/>
  <c r="X486" i="16"/>
  <c r="X499" i="16" s="1"/>
  <c r="X500" i="16" s="1"/>
  <c r="X483" i="16"/>
  <c r="X85" i="16" s="1"/>
  <c r="X87" i="25"/>
  <c r="Y223" i="25"/>
  <c r="X76" i="25"/>
  <c r="X78" i="25" s="1"/>
  <c r="X79" i="25" s="1"/>
  <c r="AA481" i="16"/>
  <c r="AA468" i="16"/>
  <c r="AB203" i="16"/>
  <c r="AA49" i="16"/>
  <c r="AA71" i="16"/>
  <c r="AA46" i="16"/>
  <c r="X469" i="16"/>
  <c r="X475" i="16"/>
  <c r="AB209" i="16"/>
  <c r="AB413" i="16"/>
  <c r="AB408" i="16"/>
  <c r="W83" i="16"/>
  <c r="W84" i="16" s="1"/>
  <c r="AA122" i="16" l="1"/>
  <c r="AA123" i="16" s="1"/>
  <c r="AA114" i="16"/>
  <c r="AA431" i="16" s="1"/>
  <c r="X82" i="25"/>
  <c r="X89" i="25"/>
  <c r="X92" i="25" s="1"/>
  <c r="X227" i="25"/>
  <c r="W67" i="16"/>
  <c r="W69" i="16" s="1"/>
  <c r="W70" i="16" s="1"/>
  <c r="X226" i="16"/>
  <c r="X225" i="16"/>
  <c r="X224" i="16"/>
  <c r="AB491" i="16"/>
  <c r="AB216" i="16"/>
  <c r="Y223" i="16"/>
  <c r="X87" i="16"/>
  <c r="X76" i="16"/>
  <c r="X78" i="16" s="1"/>
  <c r="X79" i="16" s="1"/>
  <c r="AB404" i="16"/>
  <c r="AB411" i="16"/>
  <c r="AA50" i="16"/>
  <c r="X484" i="16"/>
  <c r="W72" i="25"/>
  <c r="W73" i="25"/>
  <c r="AB210" i="16"/>
  <c r="AB217" i="16" s="1"/>
  <c r="AB211" i="16"/>
  <c r="X59" i="16"/>
  <c r="X476" i="16"/>
  <c r="AC203" i="16"/>
  <c r="AB206" i="16"/>
  <c r="Y462" i="25"/>
  <c r="Y60" i="25"/>
  <c r="Y56" i="25"/>
  <c r="BE11" i="4"/>
  <c r="BF10" i="4"/>
  <c r="AA106" i="16"/>
  <c r="AA111" i="16" s="1"/>
  <c r="X227" i="16" l="1"/>
  <c r="Y58" i="25"/>
  <c r="Y57" i="25"/>
  <c r="BG10" i="4"/>
  <c r="BF11" i="4"/>
  <c r="X89" i="16"/>
  <c r="X92" i="16" s="1"/>
  <c r="X82" i="16"/>
  <c r="AB213" i="16"/>
  <c r="W72" i="16"/>
  <c r="W73" i="16"/>
  <c r="Y463" i="25"/>
  <c r="Y480" i="25"/>
  <c r="AB218" i="16"/>
  <c r="AC204" i="16" s="1"/>
  <c r="AB405" i="16"/>
  <c r="AB406" i="16"/>
  <c r="Y462" i="16"/>
  <c r="Y60" i="16"/>
  <c r="Y493" i="16"/>
  <c r="Y498" i="16" s="1"/>
  <c r="Y56" i="16"/>
  <c r="AC202" i="16"/>
  <c r="X44" i="16"/>
  <c r="X45" i="16" s="1"/>
  <c r="X47" i="16" s="1"/>
  <c r="X52" i="16" s="1"/>
  <c r="X103" i="16"/>
  <c r="X104" i="16" s="1"/>
  <c r="X105" i="16" s="1"/>
  <c r="X54" i="16"/>
  <c r="X125" i="16"/>
  <c r="X130" i="16" s="1"/>
  <c r="AA129" i="16"/>
  <c r="AA68" i="16"/>
  <c r="AA102" i="16"/>
  <c r="Y493" i="25"/>
  <c r="Y498" i="25" s="1"/>
  <c r="AB407" i="16"/>
  <c r="AB464" i="16"/>
  <c r="AB75" i="16"/>
  <c r="AC410" i="16"/>
  <c r="X103" i="25"/>
  <c r="X104" i="25" s="1"/>
  <c r="X105" i="25" s="1"/>
  <c r="X44" i="25"/>
  <c r="X45" i="25" s="1"/>
  <c r="X47" i="25" s="1"/>
  <c r="X52" i="25" s="1"/>
  <c r="X54" i="25"/>
  <c r="AB461" i="16"/>
  <c r="AB220" i="16"/>
  <c r="X5" i="25"/>
  <c r="X6" i="25" s="1"/>
  <c r="X477" i="25"/>
  <c r="X118" i="25" l="1"/>
  <c r="X113" i="25"/>
  <c r="X115" i="25" s="1"/>
  <c r="X116" i="25" s="1"/>
  <c r="AB481" i="16"/>
  <c r="AB468" i="16"/>
  <c r="AB46" i="16"/>
  <c r="AB71" i="16"/>
  <c r="AB49" i="16"/>
  <c r="BG11" i="4"/>
  <c r="BH10" i="4"/>
  <c r="X125" i="25"/>
  <c r="X130" i="25" s="1"/>
  <c r="X83" i="25"/>
  <c r="X84" i="25" s="1"/>
  <c r="AC206" i="16"/>
  <c r="Y486" i="25"/>
  <c r="Y499" i="25" s="1"/>
  <c r="Y483" i="25"/>
  <c r="Y85" i="25" s="1"/>
  <c r="X5" i="16"/>
  <c r="X6" i="16" s="1"/>
  <c r="X477" i="16"/>
  <c r="Y500" i="25"/>
  <c r="AC209" i="16"/>
  <c r="AC413" i="16"/>
  <c r="AC408" i="16"/>
  <c r="AB106" i="16"/>
  <c r="AB63" i="16"/>
  <c r="AB66" i="16" s="1"/>
  <c r="X118" i="16"/>
  <c r="X113" i="16"/>
  <c r="Y57" i="16"/>
  <c r="Y58" i="16"/>
  <c r="Y475" i="25"/>
  <c r="Y469" i="25"/>
  <c r="AB108" i="16"/>
  <c r="AB42" i="16"/>
  <c r="X131" i="25"/>
  <c r="X53" i="25"/>
  <c r="X131" i="16"/>
  <c r="X53" i="16"/>
  <c r="Y463" i="16"/>
  <c r="Y480" i="16"/>
  <c r="Y484" i="25" l="1"/>
  <c r="AC411" i="16"/>
  <c r="AC404" i="16"/>
  <c r="Y87" i="25"/>
  <c r="Y76" i="25"/>
  <c r="Y78" i="25" s="1"/>
  <c r="Y79" i="25" s="1"/>
  <c r="Z223" i="25"/>
  <c r="AB114" i="16"/>
  <c r="AB431" i="16" s="1"/>
  <c r="AB122" i="16"/>
  <c r="AB123" i="16" s="1"/>
  <c r="Y486" i="16"/>
  <c r="Y499" i="16" s="1"/>
  <c r="Y483" i="16"/>
  <c r="Y85" i="16" s="1"/>
  <c r="AC211" i="16"/>
  <c r="AC218" i="16" s="1"/>
  <c r="AC210" i="16"/>
  <c r="AC217" i="16" s="1"/>
  <c r="Y224" i="25"/>
  <c r="Y226" i="25"/>
  <c r="Y225" i="25"/>
  <c r="X67" i="25"/>
  <c r="X69" i="25" s="1"/>
  <c r="X70" i="25" s="1"/>
  <c r="Y475" i="16"/>
  <c r="Y469" i="16"/>
  <c r="Y500" i="16"/>
  <c r="AC491" i="16"/>
  <c r="AC213" i="16"/>
  <c r="AC216" i="16"/>
  <c r="AB50" i="16"/>
  <c r="Y59" i="25"/>
  <c r="Y476" i="25"/>
  <c r="X115" i="16"/>
  <c r="X116" i="16" s="1"/>
  <c r="X83" i="16"/>
  <c r="X84" i="16" s="1"/>
  <c r="AB111" i="16"/>
  <c r="BI10" i="4"/>
  <c r="BH11" i="4"/>
  <c r="BI11" i="4" l="1"/>
  <c r="BJ10" i="4"/>
  <c r="Y227" i="25"/>
  <c r="Y484" i="16"/>
  <c r="Y89" i="25"/>
  <c r="Y92" i="25" s="1"/>
  <c r="Y82" i="25"/>
  <c r="AC220" i="16"/>
  <c r="AC42" i="16" s="1"/>
  <c r="AC461" i="16"/>
  <c r="X72" i="25"/>
  <c r="X73" i="25"/>
  <c r="AC464" i="16"/>
  <c r="AC75" i="16"/>
  <c r="X67" i="16"/>
  <c r="X69" i="16" s="1"/>
  <c r="X70" i="16" s="1"/>
  <c r="Y226" i="16"/>
  <c r="Y224" i="16"/>
  <c r="Y225" i="16"/>
  <c r="AC108" i="16"/>
  <c r="Z462" i="25"/>
  <c r="Z493" i="25" s="1"/>
  <c r="Z498" i="25" s="1"/>
  <c r="Z60" i="25"/>
  <c r="Z56" i="25"/>
  <c r="AC405" i="16"/>
  <c r="AC406" i="16"/>
  <c r="Y59" i="16"/>
  <c r="Y476" i="16"/>
  <c r="Y87" i="16"/>
  <c r="Y76" i="16"/>
  <c r="Y78" i="16" s="1"/>
  <c r="Y79" i="16" s="1"/>
  <c r="Z223" i="16"/>
  <c r="AB129" i="16"/>
  <c r="AB68" i="16"/>
  <c r="AB102" i="16"/>
  <c r="Y227" i="16" l="1"/>
  <c r="Y54" i="16" s="1"/>
  <c r="AC407" i="16"/>
  <c r="AC63" i="16" s="1"/>
  <c r="AC66" i="16" s="1"/>
  <c r="Z462" i="16"/>
  <c r="Z493" i="16" s="1"/>
  <c r="Z498" i="16" s="1"/>
  <c r="Z60" i="16"/>
  <c r="Z56" i="16"/>
  <c r="Y44" i="25"/>
  <c r="Y45" i="25" s="1"/>
  <c r="Y47" i="25" s="1"/>
  <c r="Y52" i="25" s="1"/>
  <c r="Y103" i="25"/>
  <c r="Y104" i="25" s="1"/>
  <c r="Y105" i="25" s="1"/>
  <c r="Y54" i="25"/>
  <c r="Z58" i="25"/>
  <c r="Z57" i="25"/>
  <c r="Z480" i="25"/>
  <c r="Z463" i="25"/>
  <c r="Y44" i="16"/>
  <c r="Y45" i="16" s="1"/>
  <c r="Y47" i="16" s="1"/>
  <c r="Y52" i="16" s="1"/>
  <c r="Y103" i="16"/>
  <c r="Y104" i="16" s="1"/>
  <c r="Y105" i="16" s="1"/>
  <c r="BK10" i="4"/>
  <c r="BJ11" i="4"/>
  <c r="Y89" i="16"/>
  <c r="Y92" i="16" s="1"/>
  <c r="Y82" i="16"/>
  <c r="AC71" i="16"/>
  <c r="AC46" i="16"/>
  <c r="AC49" i="16"/>
  <c r="AC50" i="16" s="1"/>
  <c r="Y5" i="25"/>
  <c r="Y6" i="25" s="1"/>
  <c r="Y477" i="25"/>
  <c r="X72" i="16"/>
  <c r="X73" i="16"/>
  <c r="AC481" i="16"/>
  <c r="AC468" i="16"/>
  <c r="Y125" i="25" l="1"/>
  <c r="Y130" i="25" s="1"/>
  <c r="AC114" i="16"/>
  <c r="AC431" i="16" s="1"/>
  <c r="AC122" i="16"/>
  <c r="AC123" i="16" s="1"/>
  <c r="Y125" i="16"/>
  <c r="Y130" i="16" s="1"/>
  <c r="Y53" i="16"/>
  <c r="Y118" i="25"/>
  <c r="Y113" i="25"/>
  <c r="Z480" i="16"/>
  <c r="Z463" i="16"/>
  <c r="BL10" i="4"/>
  <c r="BK11" i="4"/>
  <c r="Z469" i="25"/>
  <c r="Z475" i="25"/>
  <c r="Y53" i="25"/>
  <c r="Y131" i="25"/>
  <c r="Y118" i="16"/>
  <c r="Y131" i="16" s="1"/>
  <c r="Y113" i="16"/>
  <c r="Y115" i="16" s="1"/>
  <c r="Y116" i="16" s="1"/>
  <c r="Z486" i="25"/>
  <c r="Z499" i="25" s="1"/>
  <c r="Z483" i="25"/>
  <c r="Z85" i="25" s="1"/>
  <c r="Y5" i="16"/>
  <c r="Y6" i="16" s="1"/>
  <c r="Y477" i="16"/>
  <c r="Z500" i="25"/>
  <c r="Z58" i="16"/>
  <c r="Z57" i="16"/>
  <c r="AC106" i="16"/>
  <c r="AC111" i="16" s="1"/>
  <c r="BL11" i="4" l="1"/>
  <c r="BM10" i="4"/>
  <c r="Z484" i="25"/>
  <c r="Z469" i="16"/>
  <c r="Z475" i="16"/>
  <c r="Z476" i="25"/>
  <c r="Z59" i="25"/>
  <c r="Z486" i="16"/>
  <c r="Z499" i="16" s="1"/>
  <c r="Z500" i="16" s="1"/>
  <c r="Z483" i="16"/>
  <c r="Z85" i="16" s="1"/>
  <c r="Y83" i="16"/>
  <c r="Y84" i="16" s="1"/>
  <c r="Z87" i="25"/>
  <c r="AA223" i="25"/>
  <c r="Z76" i="25"/>
  <c r="Z78" i="25" s="1"/>
  <c r="Z79" i="25" s="1"/>
  <c r="Y115" i="25"/>
  <c r="Y116" i="25" s="1"/>
  <c r="Y83" i="25"/>
  <c r="Y84" i="25" s="1"/>
  <c r="AC129" i="16"/>
  <c r="AC68" i="16"/>
  <c r="AC102" i="16"/>
  <c r="AA462" i="25" l="1"/>
  <c r="AA60" i="25"/>
  <c r="AA56" i="25"/>
  <c r="Z59" i="16"/>
  <c r="Z476" i="16"/>
  <c r="Z224" i="25"/>
  <c r="Z226" i="25"/>
  <c r="Z225" i="25"/>
  <c r="Y67" i="25"/>
  <c r="Y69" i="25" s="1"/>
  <c r="Y70" i="25" s="1"/>
  <c r="Z82" i="25"/>
  <c r="Z89" i="25"/>
  <c r="Z92" i="25" s="1"/>
  <c r="Z87" i="16"/>
  <c r="Z76" i="16"/>
  <c r="Z78" i="16" s="1"/>
  <c r="Z79" i="16" s="1"/>
  <c r="AA223" i="16"/>
  <c r="Y67" i="16"/>
  <c r="Y69" i="16" s="1"/>
  <c r="Y70" i="16" s="1"/>
  <c r="Z226" i="16"/>
  <c r="Z224" i="16"/>
  <c r="Z225" i="16"/>
  <c r="Z484" i="16"/>
  <c r="BN10" i="4"/>
  <c r="BM11" i="4"/>
  <c r="Z82" i="16" l="1"/>
  <c r="Z89" i="16"/>
  <c r="Z92" i="16" s="1"/>
  <c r="Z227" i="16"/>
  <c r="Z5" i="25"/>
  <c r="Z6" i="25" s="1"/>
  <c r="Z477" i="25"/>
  <c r="BO10" i="4"/>
  <c r="BO11" i="4" s="1"/>
  <c r="BN11" i="4"/>
  <c r="AA462" i="16"/>
  <c r="AA493" i="16" s="1"/>
  <c r="AA498" i="16" s="1"/>
  <c r="AA60" i="16"/>
  <c r="AA56" i="16"/>
  <c r="Z227" i="25"/>
  <c r="AA493" i="25"/>
  <c r="AA498" i="25" s="1"/>
  <c r="Y72" i="16"/>
  <c r="Y73" i="16"/>
  <c r="Y72" i="25"/>
  <c r="Y73" i="25"/>
  <c r="AA58" i="25"/>
  <c r="AA57" i="25"/>
  <c r="AA480" i="25"/>
  <c r="AA463" i="25"/>
  <c r="AA486" i="25" l="1"/>
  <c r="AA499" i="25" s="1"/>
  <c r="AA483" i="25"/>
  <c r="AA85" i="25" s="1"/>
  <c r="Z44" i="25"/>
  <c r="Z45" i="25" s="1"/>
  <c r="Z47" i="25" s="1"/>
  <c r="Z52" i="25" s="1"/>
  <c r="Z103" i="25"/>
  <c r="Z104" i="25" s="1"/>
  <c r="Z105" i="25" s="1"/>
  <c r="Z54" i="25"/>
  <c r="Z103" i="16"/>
  <c r="Z104" i="16" s="1"/>
  <c r="Z105" i="16" s="1"/>
  <c r="Z44" i="16"/>
  <c r="Z45" i="16" s="1"/>
  <c r="Z47" i="16" s="1"/>
  <c r="Z52" i="16" s="1"/>
  <c r="Z54" i="16"/>
  <c r="Z125" i="16"/>
  <c r="Z130" i="16" s="1"/>
  <c r="AA500" i="25"/>
  <c r="Z5" i="16"/>
  <c r="Z6" i="16" s="1"/>
  <c r="Z477" i="16"/>
  <c r="AA57" i="16"/>
  <c r="AA58" i="16"/>
  <c r="AA469" i="25"/>
  <c r="AA475" i="25"/>
  <c r="AA463" i="16"/>
  <c r="AA480" i="16"/>
  <c r="AA486" i="16" l="1"/>
  <c r="AA499" i="16" s="1"/>
  <c r="AA500" i="16" s="1"/>
  <c r="AA483" i="16"/>
  <c r="AA85" i="16" s="1"/>
  <c r="Z125" i="25"/>
  <c r="Z130" i="25" s="1"/>
  <c r="Z53" i="25"/>
  <c r="Z53" i="16"/>
  <c r="AA76" i="25"/>
  <c r="AA78" i="25" s="1"/>
  <c r="AA79" i="25" s="1"/>
  <c r="AB223" i="25"/>
  <c r="AA87" i="25"/>
  <c r="AA475" i="16"/>
  <c r="AA469" i="16"/>
  <c r="AA59" i="25"/>
  <c r="AA476" i="25"/>
  <c r="Z118" i="16"/>
  <c r="Z131" i="16" s="1"/>
  <c r="Z113" i="16"/>
  <c r="Z115" i="16" s="1"/>
  <c r="Z116" i="16" s="1"/>
  <c r="Z118" i="25"/>
  <c r="Z131" i="25" s="1"/>
  <c r="Z113" i="25"/>
  <c r="Z115" i="25" s="1"/>
  <c r="Z116" i="25" s="1"/>
  <c r="AA484" i="25"/>
  <c r="Z83" i="16" l="1"/>
  <c r="Z84" i="16" s="1"/>
  <c r="AA224" i="16" s="1"/>
  <c r="AA227" i="16" s="1"/>
  <c r="Z83" i="25"/>
  <c r="Z84" i="25" s="1"/>
  <c r="AA59" i="16"/>
  <c r="AA476" i="16"/>
  <c r="AA225" i="16"/>
  <c r="AA226" i="16"/>
  <c r="AB223" i="16"/>
  <c r="AA76" i="16"/>
  <c r="AA78" i="16" s="1"/>
  <c r="AA79" i="16" s="1"/>
  <c r="AA87" i="16"/>
  <c r="AA89" i="25"/>
  <c r="AA92" i="25" s="1"/>
  <c r="AA82" i="25"/>
  <c r="AA484" i="16"/>
  <c r="AB462" i="25"/>
  <c r="AB493" i="25" s="1"/>
  <c r="AB498" i="25" s="1"/>
  <c r="AB60" i="25"/>
  <c r="AB56" i="25"/>
  <c r="Z67" i="16" l="1"/>
  <c r="Z69" i="16" s="1"/>
  <c r="Z70" i="16" s="1"/>
  <c r="AB57" i="25"/>
  <c r="AB58" i="25"/>
  <c r="AB463" i="25"/>
  <c r="AB480" i="25"/>
  <c r="AA82" i="16"/>
  <c r="AA89" i="16"/>
  <c r="AA92" i="16" s="1"/>
  <c r="AA103" i="16"/>
  <c r="AA104" i="16" s="1"/>
  <c r="AA105" i="16" s="1"/>
  <c r="AA44" i="16"/>
  <c r="AA45" i="16" s="1"/>
  <c r="AA47" i="16" s="1"/>
  <c r="AA52" i="16" s="1"/>
  <c r="AA54" i="16"/>
  <c r="AA125" i="16"/>
  <c r="AA130" i="16" s="1"/>
  <c r="AA5" i="25"/>
  <c r="AA6" i="25" s="1"/>
  <c r="AA477" i="25"/>
  <c r="AB462" i="16"/>
  <c r="AB493" i="16" s="1"/>
  <c r="AB498" i="16" s="1"/>
  <c r="AB60" i="16"/>
  <c r="AB56" i="16"/>
  <c r="Z72" i="16"/>
  <c r="Z73" i="16"/>
  <c r="AA224" i="25"/>
  <c r="AA225" i="25"/>
  <c r="Z67" i="25"/>
  <c r="Z69" i="25" s="1"/>
  <c r="Z70" i="25" s="1"/>
  <c r="AA226" i="25"/>
  <c r="AB58" i="16" l="1"/>
  <c r="AB57" i="16"/>
  <c r="AB486" i="25"/>
  <c r="AB499" i="25" s="1"/>
  <c r="AB484" i="25"/>
  <c r="AB483" i="25"/>
  <c r="AB85" i="25" s="1"/>
  <c r="AA227" i="25"/>
  <c r="AB480" i="16"/>
  <c r="AB463" i="16"/>
  <c r="AA118" i="16"/>
  <c r="AA113" i="16"/>
  <c r="AB469" i="25"/>
  <c r="AB475" i="25"/>
  <c r="AA5" i="16"/>
  <c r="AA6" i="16" s="1"/>
  <c r="AA477" i="16"/>
  <c r="Z72" i="25"/>
  <c r="Z73" i="25"/>
  <c r="AA53" i="16"/>
  <c r="AA131" i="16"/>
  <c r="AB500" i="25"/>
  <c r="AA115" i="16" l="1"/>
  <c r="AA116" i="16" s="1"/>
  <c r="AA83" i="16"/>
  <c r="AA84" i="16" s="1"/>
  <c r="AB486" i="16"/>
  <c r="AB499" i="16" s="1"/>
  <c r="AB500" i="16" s="1"/>
  <c r="AB483" i="16"/>
  <c r="AB85" i="16" s="1"/>
  <c r="AA103" i="25"/>
  <c r="AA104" i="25" s="1"/>
  <c r="AA105" i="25" s="1"/>
  <c r="AA44" i="25"/>
  <c r="AA45" i="25" s="1"/>
  <c r="AA47" i="25" s="1"/>
  <c r="AA52" i="25" s="1"/>
  <c r="AA54" i="25"/>
  <c r="AB87" i="25"/>
  <c r="AC223" i="25"/>
  <c r="AB76" i="25"/>
  <c r="AB78" i="25" s="1"/>
  <c r="AB79" i="25" s="1"/>
  <c r="AB59" i="25"/>
  <c r="AB476" i="25"/>
  <c r="AB469" i="16"/>
  <c r="AB475" i="16"/>
  <c r="AA125" i="25" l="1"/>
  <c r="AA130" i="25" s="1"/>
  <c r="AB476" i="16"/>
  <c r="AB59" i="16"/>
  <c r="AA53" i="25"/>
  <c r="AB484" i="16"/>
  <c r="AC462" i="25"/>
  <c r="AC493" i="25" s="1"/>
  <c r="AC498" i="25" s="1"/>
  <c r="AC60" i="25"/>
  <c r="AC56" i="25"/>
  <c r="AA118" i="25"/>
  <c r="AA131" i="25" s="1"/>
  <c r="AA113" i="25"/>
  <c r="AA115" i="25" s="1"/>
  <c r="AA116" i="25" s="1"/>
  <c r="AA67" i="16"/>
  <c r="AA69" i="16" s="1"/>
  <c r="AA70" i="16" s="1"/>
  <c r="AB224" i="16"/>
  <c r="AB225" i="16"/>
  <c r="AB226" i="16"/>
  <c r="AB82" i="25"/>
  <c r="AB89" i="25"/>
  <c r="AB92" i="25" s="1"/>
  <c r="AC223" i="16"/>
  <c r="AB76" i="16"/>
  <c r="AB78" i="16" s="1"/>
  <c r="AB79" i="16" s="1"/>
  <c r="AB87" i="16"/>
  <c r="AA83" i="25"/>
  <c r="AA84" i="25" s="1"/>
  <c r="AC58" i="25" l="1"/>
  <c r="AC57" i="25"/>
  <c r="AC463" i="25"/>
  <c r="AC480" i="25"/>
  <c r="AC462" i="16"/>
  <c r="AC493" i="16" s="1"/>
  <c r="AC498" i="16" s="1"/>
  <c r="AC60" i="16"/>
  <c r="AC56" i="16"/>
  <c r="AA67" i="25"/>
  <c r="AA69" i="25" s="1"/>
  <c r="AA70" i="25" s="1"/>
  <c r="AB226" i="25"/>
  <c r="AB225" i="25"/>
  <c r="AB224" i="25"/>
  <c r="AB227" i="25" s="1"/>
  <c r="AB5" i="25"/>
  <c r="AB6" i="25" s="1"/>
  <c r="AB477" i="25"/>
  <c r="AB227" i="16"/>
  <c r="AB82" i="16"/>
  <c r="AB89" i="16"/>
  <c r="AB92" i="16" s="1"/>
  <c r="AA72" i="16"/>
  <c r="AA73" i="16"/>
  <c r="AB5" i="16" l="1"/>
  <c r="AB6" i="16" s="1"/>
  <c r="AB477" i="16"/>
  <c r="AA72" i="25"/>
  <c r="AA73" i="25"/>
  <c r="AC486" i="25"/>
  <c r="AC499" i="25" s="1"/>
  <c r="AC500" i="25" s="1"/>
  <c r="AC483" i="25"/>
  <c r="AC85" i="25" s="1"/>
  <c r="AB44" i="25"/>
  <c r="AB45" i="25" s="1"/>
  <c r="AB47" i="25" s="1"/>
  <c r="AB52" i="25" s="1"/>
  <c r="AB103" i="25"/>
  <c r="AB104" i="25" s="1"/>
  <c r="AB105" i="25" s="1"/>
  <c r="AB54" i="25"/>
  <c r="AB125" i="25"/>
  <c r="AB130" i="25" s="1"/>
  <c r="AC475" i="25"/>
  <c r="AC469" i="25"/>
  <c r="AB44" i="16"/>
  <c r="AB45" i="16" s="1"/>
  <c r="AB47" i="16" s="1"/>
  <c r="AB52" i="16" s="1"/>
  <c r="AB103" i="16"/>
  <c r="AB104" i="16" s="1"/>
  <c r="AB105" i="16" s="1"/>
  <c r="AB54" i="16"/>
  <c r="AC58" i="16"/>
  <c r="AC57" i="16"/>
  <c r="AC463" i="16"/>
  <c r="AC480" i="16"/>
  <c r="AC484" i="25" l="1"/>
  <c r="AB125" i="16"/>
  <c r="AB130" i="16" s="1"/>
  <c r="AC76" i="25"/>
  <c r="AC78" i="25" s="1"/>
  <c r="AC79" i="25" s="1"/>
  <c r="AC87" i="25"/>
  <c r="AC486" i="16"/>
  <c r="AC499" i="16" s="1"/>
  <c r="AC500" i="16" s="1"/>
  <c r="AC483" i="16"/>
  <c r="AC85" i="16" s="1"/>
  <c r="AC59" i="25"/>
  <c r="AC476" i="25"/>
  <c r="AC469" i="16"/>
  <c r="AC475" i="16"/>
  <c r="AB118" i="16"/>
  <c r="AB131" i="16" s="1"/>
  <c r="AB113" i="16"/>
  <c r="AB118" i="25"/>
  <c r="AB113" i="25"/>
  <c r="AB53" i="16"/>
  <c r="AB53" i="25"/>
  <c r="AB131" i="25"/>
  <c r="AB115" i="16" l="1"/>
  <c r="AB116" i="16" s="1"/>
  <c r="AB83" i="16"/>
  <c r="AB84" i="16" s="1"/>
  <c r="AC476" i="16"/>
  <c r="AC59" i="16"/>
  <c r="AC484" i="16"/>
  <c r="AB115" i="25"/>
  <c r="AB116" i="25" s="1"/>
  <c r="AB83" i="25"/>
  <c r="AB84" i="25" s="1"/>
  <c r="AC89" i="25"/>
  <c r="AC92" i="25" s="1"/>
  <c r="AC82" i="25"/>
  <c r="AC87" i="16"/>
  <c r="AC76" i="16"/>
  <c r="AC78" i="16" s="1"/>
  <c r="AC79" i="16" s="1"/>
  <c r="AC224" i="25" l="1"/>
  <c r="AB67" i="25"/>
  <c r="AB69" i="25" s="1"/>
  <c r="AB70" i="25" s="1"/>
  <c r="AC225" i="25"/>
  <c r="AC226" i="25"/>
  <c r="AC89" i="16"/>
  <c r="AC92" i="16" s="1"/>
  <c r="AC82" i="16"/>
  <c r="AB67" i="16"/>
  <c r="AB69" i="16" s="1"/>
  <c r="AB70" i="16" s="1"/>
  <c r="AC224" i="16"/>
  <c r="AC225" i="16"/>
  <c r="AC226" i="16"/>
  <c r="AC5" i="25"/>
  <c r="AC6" i="25" s="1"/>
  <c r="AC477" i="25"/>
  <c r="AC227" i="16" l="1"/>
  <c r="AB72" i="16"/>
  <c r="AB73" i="16"/>
  <c r="AB72" i="25"/>
  <c r="AB73" i="25"/>
  <c r="AC44" i="16"/>
  <c r="AC45" i="16" s="1"/>
  <c r="AC47" i="16" s="1"/>
  <c r="AC52" i="16" s="1"/>
  <c r="AC103" i="16"/>
  <c r="AC104" i="16" s="1"/>
  <c r="AC105" i="16" s="1"/>
  <c r="AC54" i="16"/>
  <c r="AC125" i="16"/>
  <c r="AC130" i="16" s="1"/>
  <c r="AC5" i="16"/>
  <c r="AC6" i="16" s="1"/>
  <c r="AC477" i="16"/>
  <c r="AC227" i="25"/>
  <c r="AC118" i="16" l="1"/>
  <c r="AC113" i="16"/>
  <c r="AC115" i="16" s="1"/>
  <c r="AC116" i="16" s="1"/>
  <c r="AC53" i="16"/>
  <c r="AC131" i="16"/>
  <c r="AC44" i="25"/>
  <c r="AC45" i="25" s="1"/>
  <c r="AC47" i="25" s="1"/>
  <c r="AC52" i="25" s="1"/>
  <c r="AC103" i="25"/>
  <c r="AC104" i="25" s="1"/>
  <c r="AC105" i="25" s="1"/>
  <c r="AC54" i="25"/>
  <c r="AC125" i="25"/>
  <c r="AC130" i="25" s="1"/>
  <c r="AC53" i="25" l="1"/>
  <c r="AC83" i="16"/>
  <c r="AC84" i="16" s="1"/>
  <c r="AC67" i="16" s="1"/>
  <c r="AC69" i="16" s="1"/>
  <c r="AC70" i="16" s="1"/>
  <c r="AC118" i="25"/>
  <c r="AC131" i="25" s="1"/>
  <c r="AC113" i="25"/>
  <c r="AC72" i="16" l="1"/>
  <c r="AC73" i="16"/>
  <c r="AC115" i="25"/>
  <c r="AC116" i="25" s="1"/>
  <c r="AC83" i="25"/>
  <c r="AC84" i="25" s="1"/>
  <c r="AC67" i="25" s="1"/>
  <c r="AC69" i="25" s="1"/>
  <c r="AC70" i="25" s="1"/>
  <c r="AC72" i="25" l="1"/>
  <c r="AC73" i="25"/>
</calcChain>
</file>

<file path=xl/comments1.xml><?xml version="1.0" encoding="utf-8"?>
<comments xmlns="http://schemas.openxmlformats.org/spreadsheetml/2006/main">
  <authors>
    <author>Matthew Bell</author>
  </authors>
  <commentList>
    <comment ref="A29" authorId="0" shapeId="0">
      <text>
        <r>
          <rPr>
            <sz val="9"/>
            <color indexed="81"/>
            <rFont val="Tahoma"/>
            <family val="2"/>
          </rPr>
          <t xml:space="preserve">Non-Earners' Account and their share of the Injury Treatment Account levies will be paid by the Crown and hence excluded from consolidated accounts.
</t>
        </r>
      </text>
    </comment>
    <comment ref="A30" authorId="0" shapeId="0">
      <text>
        <r>
          <rPr>
            <sz val="9"/>
            <color indexed="81"/>
            <rFont val="Tahoma"/>
            <family val="2"/>
          </rPr>
          <t xml:space="preserve">Levies from the Non-Earners' Account and their share of the Injury Treatment Account are paid by the Crown and hence are the driver of the intersegment-elimination in consolidated Other Sovereign Revenue.
</t>
        </r>
      </text>
    </comment>
    <comment ref="N48" authorId="0" shapeId="0">
      <text>
        <r>
          <rPr>
            <sz val="9"/>
            <color indexed="81"/>
            <rFont val="Tahoma"/>
            <family val="2"/>
          </rPr>
          <t xml:space="preserve">From Education Counts website, Tertiary, Participation, Provider-based Equivalent Full-Time Students (EFTS) spreadsheet, EFT.3 worksheet
</t>
        </r>
      </text>
    </comment>
  </commentList>
</comments>
</file>

<file path=xl/comments2.xml><?xml version="1.0" encoding="utf-8"?>
<comments xmlns="http://schemas.openxmlformats.org/spreadsheetml/2006/main">
  <authors>
    <author>Matthew Bell</author>
  </authors>
  <commentList>
    <comment ref="A22" authorId="0" shapeId="0">
      <text>
        <r>
          <rPr>
            <sz val="9"/>
            <color indexed="81"/>
            <rFont val="Tahoma"/>
            <family val="2"/>
          </rPr>
          <t>Dec quarter of first year e.g. In 2009/10 it is the Dec qtr 2009 figure, as applies to indexing on 1 April 2010</t>
        </r>
      </text>
    </comment>
    <comment ref="A23" authorId="0" shapeId="0">
      <text>
        <r>
          <rPr>
            <sz val="9"/>
            <color indexed="81"/>
            <rFont val="Tahoma"/>
            <family val="2"/>
          </rPr>
          <t>June quarter of second year e.g. In 2009/10 it is the June qtr 2010 figure, as applies to indexing on 1 April 2010</t>
        </r>
      </text>
    </comment>
  </commentList>
</comments>
</file>

<file path=xl/comments3.xml><?xml version="1.0" encoding="utf-8"?>
<comments xmlns="http://schemas.openxmlformats.org/spreadsheetml/2006/main">
  <authors>
    <author>Matthew Bell</author>
  </authors>
  <commentList>
    <comment ref="F30" authorId="0" shapeId="0">
      <text>
        <r>
          <rPr>
            <sz val="9"/>
            <color indexed="81"/>
            <rFont val="Tahoma"/>
            <family val="2"/>
          </rPr>
          <t xml:space="preserve">Includes $92 million loss from </t>
        </r>
        <r>
          <rPr>
            <i/>
            <sz val="9"/>
            <color indexed="81"/>
            <rFont val="Tahoma"/>
            <family val="2"/>
          </rPr>
          <t>Gains/(losses) from discontinued operations</t>
        </r>
        <r>
          <rPr>
            <sz val="9"/>
            <color indexed="81"/>
            <rFont val="Tahoma"/>
            <family val="2"/>
          </rPr>
          <t xml:space="preserve"> 
</t>
        </r>
      </text>
    </comment>
    <comment ref="G30" authorId="0" shapeId="0">
      <text>
        <r>
          <rPr>
            <sz val="9"/>
            <color indexed="81"/>
            <rFont val="Tahoma"/>
            <family val="2"/>
          </rPr>
          <t xml:space="preserve">Includes $22 million gain from </t>
        </r>
        <r>
          <rPr>
            <i/>
            <sz val="9"/>
            <color indexed="81"/>
            <rFont val="Tahoma"/>
            <family val="2"/>
          </rPr>
          <t>Gains/(losses) from discontinued operations</t>
        </r>
        <r>
          <rPr>
            <sz val="9"/>
            <color indexed="81"/>
            <rFont val="Tahoma"/>
            <family val="2"/>
          </rPr>
          <t xml:space="preserve"> 
</t>
        </r>
      </text>
    </comment>
    <comment ref="H84" authorId="0" shapeId="0">
      <text>
        <r>
          <rPr>
            <sz val="9"/>
            <color indexed="81"/>
            <rFont val="Tahoma"/>
            <family val="2"/>
          </rPr>
          <t xml:space="preserve">Includes one-off $690 million acquisition of Toll (NZ) Limited
</t>
        </r>
      </text>
    </comment>
    <comment ref="J84" authorId="0" shapeId="0">
      <text>
        <r>
          <rPr>
            <sz val="9"/>
            <color indexed="81"/>
            <rFont val="Tahoma"/>
            <family val="2"/>
          </rPr>
          <t xml:space="preserve">Includes one-off $152 million cash receipt from Cash balance in relation to AMI
</t>
        </r>
      </text>
    </comment>
    <comment ref="L84" authorId="0" shapeId="0">
      <text>
        <r>
          <rPr>
            <sz val="9"/>
            <color indexed="81"/>
            <rFont val="Tahoma"/>
            <family val="2"/>
          </rPr>
          <t>Includes $1,547 million from Government share offer programme</t>
        </r>
      </text>
    </comment>
    <comment ref="M84" authorId="0" shapeId="0">
      <text>
        <r>
          <rPr>
            <sz val="9"/>
            <color indexed="81"/>
            <rFont val="Tahoma"/>
            <family val="2"/>
          </rPr>
          <t>Includes $2,186 million from Government share offer programme</t>
        </r>
      </text>
    </comment>
    <comment ref="N84" authorId="0" shapeId="0">
      <text>
        <r>
          <rPr>
            <sz val="9"/>
            <color indexed="81"/>
            <rFont val="Tahoma"/>
            <family val="2"/>
          </rPr>
          <t>Includes $579 million from Government share offer programme</t>
        </r>
      </text>
    </comment>
    <comment ref="A151" authorId="0" shapeId="0">
      <text>
        <r>
          <rPr>
            <sz val="9"/>
            <color indexed="81"/>
            <rFont val="Tahoma"/>
            <family val="2"/>
          </rPr>
          <t xml:space="preserve">In early historical years this variable can be negative as the NZS Fund originally held sovereign-issued government stock, and this could outweigh the NZS Fund debt removed in this calculation.
</t>
        </r>
      </text>
    </comment>
    <comment ref="A167" authorId="0" shapeId="0">
      <text>
        <r>
          <rPr>
            <sz val="9"/>
            <color indexed="81"/>
            <rFont val="Tahoma"/>
            <family val="2"/>
          </rPr>
          <t xml:space="preserve">Labelled "Social assistance and official development assistance" in Statement of Segments but same variable as "Transfer payments and subsidies".
</t>
        </r>
      </text>
    </comment>
    <comment ref="F180" authorId="0" shapeId="0">
      <text>
        <r>
          <rPr>
            <sz val="9"/>
            <color indexed="81"/>
            <rFont val="Tahoma"/>
            <family val="2"/>
          </rPr>
          <t>Includes $m92 loss from discontinued operations</t>
        </r>
      </text>
    </comment>
    <comment ref="G180" authorId="0" shapeId="0">
      <text>
        <r>
          <rPr>
            <sz val="9"/>
            <color indexed="81"/>
            <rFont val="Tahoma"/>
            <family val="2"/>
          </rPr>
          <t>Includes $m2 loss from discontinued operations</t>
        </r>
      </text>
    </comment>
    <comment ref="H180" authorId="0" shapeId="0">
      <text>
        <r>
          <rPr>
            <sz val="9"/>
            <color indexed="81"/>
            <rFont val="Tahoma"/>
            <family val="2"/>
          </rPr>
          <t>Includes $m3 loss from discontinued operations</t>
        </r>
      </text>
    </comment>
    <comment ref="A265" authorId="0" shapeId="0">
      <text>
        <r>
          <rPr>
            <sz val="9"/>
            <color indexed="81"/>
            <rFont val="Tahoma"/>
            <family val="2"/>
          </rPr>
          <t xml:space="preserve">From 2010/11 Other includes insurance expenses of Southern Response, which was formerly AMI Insurance. </t>
        </r>
      </text>
    </comment>
    <comment ref="J265" authorId="0" shapeId="0">
      <text>
        <r>
          <rPr>
            <sz val="9"/>
            <color indexed="81"/>
            <rFont val="Tahoma"/>
            <family val="2"/>
          </rPr>
          <t>Includes $m151 for Southern Response in this year (formerly AMI insurance) and $m336 inter-segment elimination</t>
        </r>
      </text>
    </comment>
    <comment ref="K265" authorId="0" shapeId="0">
      <text>
        <r>
          <rPr>
            <sz val="9"/>
            <color indexed="81"/>
            <rFont val="Tahoma"/>
            <family val="2"/>
          </rPr>
          <t>Includes $m586 for Southern Response in this year (formerly AMI insurance) and $m113 inter-segment elimination</t>
        </r>
      </text>
    </comment>
    <comment ref="L265" authorId="0" shapeId="0">
      <text>
        <r>
          <rPr>
            <sz val="9"/>
            <color indexed="81"/>
            <rFont val="Tahoma"/>
            <family val="2"/>
          </rPr>
          <t>Includes $m22 refund for Southern Response in this year (formerly AMI insurance) and -$m4 inter-segment elimination</t>
        </r>
      </text>
    </comment>
    <comment ref="M265" authorId="0" shapeId="0">
      <text>
        <r>
          <rPr>
            <sz val="9"/>
            <color indexed="81"/>
            <rFont val="Tahoma"/>
            <family val="2"/>
          </rPr>
          <t>Includes $m87 for Southern Response in this year (formerly AMI insurance) and $m41 other and inter-segment elimination</t>
        </r>
      </text>
    </comment>
    <comment ref="N265" authorId="0" shapeId="0">
      <text>
        <r>
          <rPr>
            <sz val="9"/>
            <color indexed="81"/>
            <rFont val="Tahoma"/>
            <family val="2"/>
          </rPr>
          <t>Includes $m335 for Southern Response in this year (formerly AMI insurance) and $m28 other and inter-segment elimination.</t>
        </r>
      </text>
    </comment>
    <comment ref="O265" authorId="0" shapeId="0">
      <text>
        <r>
          <rPr>
            <sz val="9"/>
            <color indexed="81"/>
            <rFont val="Tahoma"/>
            <family val="2"/>
          </rPr>
          <t>Includes $m35 refund for Southern Response in this year (formerly AMI insurance) and $m12 other and inter-segment elimination.</t>
        </r>
      </text>
    </comment>
    <comment ref="P265" authorId="0" shapeId="0">
      <text>
        <r>
          <rPr>
            <sz val="9"/>
            <color indexed="81"/>
            <rFont val="Tahoma"/>
            <family val="2"/>
          </rPr>
          <t>Includes $m45 refund for Southern Response in this year (formerly AMI insurance) and $m12 other and inter-segment elimination.</t>
        </r>
      </text>
    </comment>
    <comment ref="Q265" authorId="0" shapeId="0">
      <text>
        <r>
          <rPr>
            <sz val="9"/>
            <color indexed="81"/>
            <rFont val="Tahoma"/>
            <family val="2"/>
          </rPr>
          <t>Includes $m21 refund for Southern Response in this year (formerly AMI insurance) and $m11 other and inter-segment elimination.</t>
        </r>
      </text>
    </comment>
    <comment ref="R265" authorId="0" shapeId="0">
      <text>
        <r>
          <rPr>
            <sz val="9"/>
            <color indexed="81"/>
            <rFont val="Tahoma"/>
            <family val="2"/>
          </rPr>
          <t>Includes $m5 refund for Southern Response in this year (formerly AMI insurance) and $m12 other and inter-segment elimination.</t>
        </r>
      </text>
    </comment>
    <comment ref="J391" authorId="0" shapeId="0">
      <text>
        <r>
          <rPr>
            <sz val="9"/>
            <color indexed="81"/>
            <rFont val="Tahoma"/>
            <family val="2"/>
          </rPr>
          <t>Includes $m2,082 for Southern Response (formerly AMI insurance) and $m336 inter-segment elimination</t>
        </r>
      </text>
    </comment>
    <comment ref="K391" authorId="0" shapeId="0">
      <text>
        <r>
          <rPr>
            <sz val="9"/>
            <color indexed="81"/>
            <rFont val="Tahoma"/>
            <family val="2"/>
          </rPr>
          <t>Includes $m2,062 for Southern Response (formerly AMI insurance) and $m449 inter-segment elimination</t>
        </r>
      </text>
    </comment>
    <comment ref="L391" authorId="0" shapeId="0">
      <text>
        <r>
          <rPr>
            <sz val="9"/>
            <color indexed="81"/>
            <rFont val="Tahoma"/>
            <family val="2"/>
          </rPr>
          <t>Includes $m1,744 for Southern Response (formerly AMI insurance) and $m414 inter-segment elimination</t>
        </r>
      </text>
    </comment>
    <comment ref="M391" authorId="0" shapeId="0">
      <text>
        <r>
          <rPr>
            <sz val="9"/>
            <color indexed="81"/>
            <rFont val="Tahoma"/>
            <family val="2"/>
          </rPr>
          <t>Includes $m1,434 for Southern Response (formerly AMI insurance)</t>
        </r>
      </text>
    </comment>
    <comment ref="N391" authorId="0" shapeId="0">
      <text>
        <r>
          <rPr>
            <sz val="9"/>
            <color indexed="81"/>
            <rFont val="Tahoma"/>
            <family val="2"/>
          </rPr>
          <t>Includes $m1,216 for Southern Response (formerly AMI insurance)</t>
        </r>
      </text>
    </comment>
    <comment ref="O391" authorId="0" shapeId="0">
      <text>
        <r>
          <rPr>
            <sz val="9"/>
            <color indexed="81"/>
            <rFont val="Tahoma"/>
            <family val="2"/>
          </rPr>
          <t>Includes $m624 for Southern Response (formerly AMI insurance)</t>
        </r>
      </text>
    </comment>
    <comment ref="P391" authorId="0" shapeId="0">
      <text>
        <r>
          <rPr>
            <sz val="9"/>
            <color indexed="81"/>
            <rFont val="Tahoma"/>
            <family val="2"/>
          </rPr>
          <t>Includes $m223 for Southern Response (formerly AMI insurance)</t>
        </r>
      </text>
    </comment>
    <comment ref="Q391" authorId="0" shapeId="0">
      <text>
        <r>
          <rPr>
            <sz val="9"/>
            <color indexed="81"/>
            <rFont val="Tahoma"/>
            <family val="2"/>
          </rPr>
          <t>Includes $m51 for Southern Response (formerly AMI insurance)</t>
        </r>
      </text>
    </comment>
    <comment ref="L431" authorId="0" shapeId="0">
      <text>
        <r>
          <rPr>
            <sz val="9"/>
            <color indexed="81"/>
            <rFont val="Tahoma"/>
            <family val="2"/>
          </rPr>
          <t>Includes $m1,663 cash inflow from the Government share offer programme</t>
        </r>
      </text>
    </comment>
    <comment ref="M431" authorId="0" shapeId="0">
      <text>
        <r>
          <rPr>
            <sz val="9"/>
            <color indexed="81"/>
            <rFont val="Tahoma"/>
            <family val="2"/>
          </rPr>
          <t>Includes $m2,325 cash inflow from the Government share offer programme</t>
        </r>
      </text>
    </comment>
    <comment ref="N431" authorId="0" shapeId="0">
      <text>
        <r>
          <rPr>
            <sz val="9"/>
            <color indexed="81"/>
            <rFont val="Tahoma"/>
            <family val="2"/>
          </rPr>
          <t>Includes $m628 cash inflow from the Government share offer programme</t>
        </r>
      </text>
    </comment>
  </commentList>
</comments>
</file>

<file path=xl/comments4.xml><?xml version="1.0" encoding="utf-8"?>
<comments xmlns="http://schemas.openxmlformats.org/spreadsheetml/2006/main">
  <authors>
    <author>Matthew Bell</author>
  </authors>
  <commentList>
    <comment ref="A252" authorId="0" shapeId="0">
      <text>
        <r>
          <rPr>
            <sz val="9"/>
            <color indexed="81"/>
            <rFont val="Tahoma"/>
            <family val="2"/>
          </rPr>
          <t xml:space="preserve">There are no State-owned enterprise health expenses </t>
        </r>
      </text>
    </comment>
    <comment ref="A291" authorId="0" shapeId="0">
      <text>
        <r>
          <rPr>
            <sz val="9"/>
            <color indexed="81"/>
            <rFont val="Tahoma"/>
            <family val="2"/>
          </rPr>
          <t>All of the difference between Total &amp; core Crown GSF pension expenses are assumed to be in this grouping of Crown entity expenses</t>
        </r>
      </text>
    </comment>
    <comment ref="A292" authorId="0" shapeId="0">
      <text>
        <r>
          <rPr>
            <sz val="9"/>
            <color indexed="81"/>
            <rFont val="Tahoma"/>
            <family val="2"/>
          </rPr>
          <t>All of the difference between Total &amp; core Crown economic &amp; industrial services expenses are assumed to be in this grouping of SOE expenses</t>
        </r>
      </text>
    </comment>
    <comment ref="A397" authorId="0" shapeId="0">
      <text>
        <r>
          <rPr>
            <sz val="9"/>
            <color indexed="81"/>
            <rFont val="Tahoma"/>
            <family val="2"/>
          </rPr>
          <t>Published Forecast Statement of Segments data does not separate inventory and other assets so they have been ratioed in the same proportion as the two Total Crown assets for each actual &amp; forecast year</t>
        </r>
      </text>
    </comment>
    <comment ref="A400" authorId="0" shapeId="0">
      <text>
        <r>
          <rPr>
            <sz val="9"/>
            <color indexed="81"/>
            <rFont val="Tahoma"/>
            <family val="2"/>
          </rPr>
          <t>Published Forecast Statement of Segments data does not separate inventory and other assets so they have been ratioed in the same proportion as the two Total Crown assets for each actual &amp; forecast year</t>
        </r>
      </text>
    </comment>
    <comment ref="A407" authorId="0" shapeId="0">
      <text>
        <r>
          <rPr>
            <sz val="9"/>
            <color indexed="81"/>
            <rFont val="Tahoma"/>
            <family val="2"/>
          </rPr>
          <t xml:space="preserve">There are no inter-segment eliminations in this asset type </t>
        </r>
      </text>
    </comment>
    <comment ref="A415" authorId="0" shapeId="0">
      <text>
        <r>
          <rPr>
            <sz val="9"/>
            <color indexed="81"/>
            <rFont val="Tahoma"/>
            <family val="2"/>
          </rPr>
          <t>Majority of this core Crown asset is eliminated as it represents government's investment in Crown entities and SOEs.</t>
        </r>
      </text>
    </comment>
    <comment ref="A416" authorId="0" shapeId="0">
      <text>
        <r>
          <rPr>
            <sz val="9"/>
            <color indexed="81"/>
            <rFont val="Tahoma"/>
            <family val="2"/>
          </rPr>
          <t>This is dominated by the Tertiary Education Institutions, which are Crown entities with special legislative conditions</t>
        </r>
      </text>
    </comment>
    <comment ref="A422" authorId="0" shapeId="0">
      <text>
        <r>
          <rPr>
            <sz val="9"/>
            <color indexed="81"/>
            <rFont val="Tahoma"/>
            <family val="2"/>
          </rPr>
          <t>There are no inter-segment eliminations in this asset type in actual years. Small rounding corrections do appear in forecast years so are incorporated in SOE segment.</t>
        </r>
      </text>
    </comment>
    <comment ref="A424" authorId="0" shapeId="0">
      <text>
        <r>
          <rPr>
            <sz val="9"/>
            <color indexed="81"/>
            <rFont val="Tahoma"/>
            <family val="2"/>
          </rPr>
          <t>There are no Crown entity, SOE or inter-segment eliminations in this liability type, it is purely core Crown</t>
        </r>
      </text>
    </comment>
    <comment ref="A473" authorId="0" shapeId="0">
      <text>
        <r>
          <rPr>
            <sz val="9"/>
            <color indexed="81"/>
            <rFont val="Tahoma"/>
            <family val="2"/>
          </rPr>
          <t xml:space="preserve">Any change in the core Crown cash asset in projected years is assumed to be in the NZS Fund </t>
        </r>
      </text>
    </comment>
  </commentList>
</comments>
</file>

<file path=xl/comments5.xml><?xml version="1.0" encoding="utf-8"?>
<comments xmlns="http://schemas.openxmlformats.org/spreadsheetml/2006/main">
  <authors>
    <author>Matthew Bell</author>
  </authors>
  <commentList>
    <comment ref="A252" authorId="0" shapeId="0">
      <text>
        <r>
          <rPr>
            <sz val="9"/>
            <color indexed="81"/>
            <rFont val="Tahoma"/>
            <family val="2"/>
          </rPr>
          <t xml:space="preserve">There are no State-owned enterprise health expenses </t>
        </r>
      </text>
    </comment>
    <comment ref="A291" authorId="0" shapeId="0">
      <text>
        <r>
          <rPr>
            <sz val="9"/>
            <color indexed="81"/>
            <rFont val="Tahoma"/>
            <family val="2"/>
          </rPr>
          <t>All of the difference between Total &amp; core Crown GSF pension expenses are assumed to be in this grouping of Crown entity expenses</t>
        </r>
      </text>
    </comment>
    <comment ref="A292" authorId="0" shapeId="0">
      <text>
        <r>
          <rPr>
            <sz val="9"/>
            <color indexed="81"/>
            <rFont val="Tahoma"/>
            <family val="2"/>
          </rPr>
          <t>All of the difference between Total &amp; core Crown economic &amp; industrial services expenses are assumed to be in this grouping of SOE expenses</t>
        </r>
      </text>
    </comment>
    <comment ref="A397" authorId="0" shapeId="0">
      <text>
        <r>
          <rPr>
            <sz val="9"/>
            <color indexed="81"/>
            <rFont val="Tahoma"/>
            <family val="2"/>
          </rPr>
          <t>Published Forecast Statement of Segments data does not separate inventory and other assets so they have been ratioed in the same proportion as the two Total Crown assets for each actual &amp; forecast year</t>
        </r>
      </text>
    </comment>
    <comment ref="A400" authorId="0" shapeId="0">
      <text>
        <r>
          <rPr>
            <sz val="9"/>
            <color indexed="81"/>
            <rFont val="Tahoma"/>
            <family val="2"/>
          </rPr>
          <t>Published Forecast Statement of Segments data does not separate inventory and other assets so they have been ratioed in the same proportion as the two Total Crown assets for each actual &amp; forecast year</t>
        </r>
      </text>
    </comment>
    <comment ref="A407" authorId="0" shapeId="0">
      <text>
        <r>
          <rPr>
            <sz val="9"/>
            <color indexed="81"/>
            <rFont val="Tahoma"/>
            <family val="2"/>
          </rPr>
          <t xml:space="preserve">There are no inter-segment eliminations in this asset type </t>
        </r>
      </text>
    </comment>
    <comment ref="A415" authorId="0" shapeId="0">
      <text>
        <r>
          <rPr>
            <sz val="9"/>
            <color indexed="81"/>
            <rFont val="Tahoma"/>
            <family val="2"/>
          </rPr>
          <t>Majority of this core Crown asset is eliminated as it represents government's investment in Crown entities and SOEs.</t>
        </r>
      </text>
    </comment>
    <comment ref="A416" authorId="0" shapeId="0">
      <text>
        <r>
          <rPr>
            <sz val="9"/>
            <color indexed="81"/>
            <rFont val="Tahoma"/>
            <family val="2"/>
          </rPr>
          <t>This is dominated by the Tertiary Education Institutions, which are Crown entities with special legislative conditions</t>
        </r>
      </text>
    </comment>
    <comment ref="A422" authorId="0" shapeId="0">
      <text>
        <r>
          <rPr>
            <sz val="9"/>
            <color indexed="81"/>
            <rFont val="Tahoma"/>
            <family val="2"/>
          </rPr>
          <t>There are no inter-segment eliminations in this asset type in actual years. Small rounding corrections do appear in forecast years so are incorporated in SOE segment.</t>
        </r>
      </text>
    </comment>
    <comment ref="A424" authorId="0" shapeId="0">
      <text>
        <r>
          <rPr>
            <sz val="9"/>
            <color indexed="81"/>
            <rFont val="Tahoma"/>
            <family val="2"/>
          </rPr>
          <t>There are no Crown entity, SOE or inter-segment eliminations in this liability type, it is purely core Crown</t>
        </r>
      </text>
    </comment>
    <comment ref="A473" authorId="0" shapeId="0">
      <text>
        <r>
          <rPr>
            <sz val="9"/>
            <color indexed="81"/>
            <rFont val="Tahoma"/>
            <family val="2"/>
          </rPr>
          <t xml:space="preserve">Any change in the core Crown cash asset in projected years is assumed to be in the NZS Fund </t>
        </r>
      </text>
    </comment>
  </commentList>
</comments>
</file>

<file path=xl/sharedStrings.xml><?xml version="1.0" encoding="utf-8"?>
<sst xmlns="http://schemas.openxmlformats.org/spreadsheetml/2006/main" count="2358" uniqueCount="1200">
  <si>
    <t>This version of the FSM uses:</t>
  </si>
  <si>
    <t>Forecasts from Treasury</t>
  </si>
  <si>
    <t>Economic Data</t>
  </si>
  <si>
    <t>History</t>
  </si>
  <si>
    <t>Forecasts</t>
  </si>
  <si>
    <t>Historic data from Treasury databases</t>
  </si>
  <si>
    <t>Fiscal Data</t>
  </si>
  <si>
    <t>Historic data from Treasury publications</t>
  </si>
  <si>
    <t>Mainly from Financial Statements published in past EFU reports</t>
  </si>
  <si>
    <t>Demographic Data</t>
  </si>
  <si>
    <t>Projections</t>
  </si>
  <si>
    <t>Statistics New Zealand website</t>
  </si>
  <si>
    <t>Labour Force</t>
  </si>
  <si>
    <t>(by gender and</t>
  </si>
  <si>
    <t>single year of age)</t>
  </si>
  <si>
    <t>Aggregate population forecast by Treasury</t>
  </si>
  <si>
    <t>Aggregate labour force forecast by Treasury</t>
  </si>
  <si>
    <t>Social welfare</t>
  </si>
  <si>
    <t>transfers</t>
  </si>
  <si>
    <t>Unless otherwise stated, all post-forecast projections are produced by the FSM model</t>
  </si>
  <si>
    <t>New Zealand</t>
  </si>
  <si>
    <t>Superannuation</t>
  </si>
  <si>
    <t>Projection produced by Treasury</t>
  </si>
  <si>
    <t>NZSF model website</t>
  </si>
  <si>
    <t>Accident Compen-</t>
  </si>
  <si>
    <t>sation Corporation</t>
  </si>
  <si>
    <t>(ACC) data</t>
  </si>
  <si>
    <t>Forecasts provided to Treasury by ACC</t>
  </si>
  <si>
    <t>Fund (NZSF)</t>
  </si>
  <si>
    <t>Forecasts provided to Treasury by NZSF</t>
  </si>
  <si>
    <t>Projection produced by ACC</t>
  </si>
  <si>
    <t>Student Loans</t>
  </si>
  <si>
    <t>Ministry of Education</t>
  </si>
  <si>
    <t>Forecasts from Ministry of Social Development</t>
  </si>
  <si>
    <t>and Inland Revenue Department (for Working for Families)</t>
  </si>
  <si>
    <t>Source at</t>
  </si>
  <si>
    <t xml:space="preserve">Inland Revenue </t>
  </si>
  <si>
    <t>KiwiSaver expenses</t>
  </si>
  <si>
    <t>Department (IRD)</t>
  </si>
  <si>
    <t>Forecasts provided to Treasury by IRD</t>
  </si>
  <si>
    <t>Projection to 2021/22 by IRD</t>
  </si>
  <si>
    <t>Projected population of New Zealand by age and sex for years ending 30 June</t>
  </si>
  <si>
    <t>05/06</t>
  </si>
  <si>
    <t>06/07</t>
  </si>
  <si>
    <t>07/08</t>
  </si>
  <si>
    <t>08/09</t>
  </si>
  <si>
    <t>09/10</t>
  </si>
  <si>
    <t>10/11</t>
  </si>
  <si>
    <t>11/12</t>
  </si>
  <si>
    <t>12/13</t>
  </si>
  <si>
    <t>13/14</t>
  </si>
  <si>
    <t>14/15</t>
  </si>
  <si>
    <t>15/16</t>
  </si>
  <si>
    <t>16/17</t>
  </si>
  <si>
    <t>17/18</t>
  </si>
  <si>
    <t>18/19</t>
  </si>
  <si>
    <t>19/20</t>
  </si>
  <si>
    <t>20/21</t>
  </si>
  <si>
    <t>21/22</t>
  </si>
  <si>
    <t>22/23</t>
  </si>
  <si>
    <t>23/24</t>
  </si>
  <si>
    <t>24/25</t>
  </si>
  <si>
    <t>25/26</t>
  </si>
  <si>
    <t>26/27</t>
  </si>
  <si>
    <t>27/28</t>
  </si>
  <si>
    <t>28/29</t>
  </si>
  <si>
    <t>29/30</t>
  </si>
  <si>
    <t>30/31</t>
  </si>
  <si>
    <t>31/32</t>
  </si>
  <si>
    <t>32/33</t>
  </si>
  <si>
    <t>60/61</t>
  </si>
  <si>
    <t>59/60</t>
  </si>
  <si>
    <t>58/59</t>
  </si>
  <si>
    <t>57/58</t>
  </si>
  <si>
    <t>56/57</t>
  </si>
  <si>
    <t>55/56</t>
  </si>
  <si>
    <t>54/55</t>
  </si>
  <si>
    <t>53/54</t>
  </si>
  <si>
    <t>52/53</t>
  </si>
  <si>
    <t>51/52</t>
  </si>
  <si>
    <t>50/51</t>
  </si>
  <si>
    <t>49/50</t>
  </si>
  <si>
    <t>48/49</t>
  </si>
  <si>
    <t>47/48</t>
  </si>
  <si>
    <t>46/47</t>
  </si>
  <si>
    <t>45/46</t>
  </si>
  <si>
    <t>44/45</t>
  </si>
  <si>
    <t>43/44</t>
  </si>
  <si>
    <t>42/43</t>
  </si>
  <si>
    <t>41/42</t>
  </si>
  <si>
    <t>40/41</t>
  </si>
  <si>
    <t>39/40</t>
  </si>
  <si>
    <t>38/39</t>
  </si>
  <si>
    <t>37/38</t>
  </si>
  <si>
    <t>36/37</t>
  </si>
  <si>
    <t>35/36</t>
  </si>
  <si>
    <t>34/35</t>
  </si>
  <si>
    <t>33/34</t>
  </si>
  <si>
    <t>FEMALES</t>
  </si>
  <si>
    <t>AGE (years)</t>
  </si>
  <si>
    <t>Year (1 July to following 30 June)</t>
  </si>
  <si>
    <t>TOTAL FEMALE</t>
  </si>
  <si>
    <t>TOTAL POPULATION (millions)</t>
  </si>
  <si>
    <t>MALES</t>
  </si>
  <si>
    <t>TOTAL MALE</t>
  </si>
  <si>
    <t>Infoshare</t>
  </si>
  <si>
    <t>Population Estimates - Estimated Resident Population by Age and Sex (1991+) (Annual - Jun)</t>
  </si>
  <si>
    <t>NZ.Stat</t>
  </si>
  <si>
    <t>Projected labour force of New Zealand by age and sex for years ending 30 June</t>
  </si>
  <si>
    <t>Labour Force projections from 2005/06 onwards sourced from Statistics New Zealand</t>
  </si>
  <si>
    <t>80 &amp; above</t>
  </si>
  <si>
    <t>Household Labour Force Survey (HLFS) data</t>
  </si>
  <si>
    <t>HLFS working age population (000's)</t>
  </si>
  <si>
    <t>HLFS aggregate labour force (000's)</t>
  </si>
  <si>
    <t>Historical Household Labour Force Survey data from Statistics New Zealand</t>
  </si>
  <si>
    <t>Household Labour Force Survey - Labour Force Status by Sex by Age Group (Annual - Jun)</t>
  </si>
  <si>
    <t>Forecast Household Labour Force Survey data from Treasury</t>
  </si>
  <si>
    <t>Latest Economic and Fiscal Update forecasts</t>
  </si>
  <si>
    <t>HLFS labour force participation rate (%)</t>
  </si>
  <si>
    <t>Aggregate labour force (000's)</t>
  </si>
  <si>
    <r>
      <t xml:space="preserve">Working Age Population (from </t>
    </r>
    <r>
      <rPr>
        <i/>
        <sz val="10"/>
        <color indexed="8"/>
        <rFont val="Arial"/>
        <family val="2"/>
      </rPr>
      <t>Popn</t>
    </r>
    <r>
      <rPr>
        <sz val="10"/>
        <color indexed="8"/>
        <rFont val="Arial"/>
        <family val="2"/>
      </rPr>
      <t>,000's)</t>
    </r>
  </si>
  <si>
    <t>Aggregate labour force participation rate %</t>
  </si>
  <si>
    <t>Statistics New Zealand Projections</t>
  </si>
  <si>
    <t>Exogenous tracks used as inputs to projections</t>
  </si>
  <si>
    <t>The long-run projection tracks in this spreadsheet are either produced by Treasury or provided to Treasury by other public sector agencies.</t>
  </si>
  <si>
    <t>They are applied as drivers of growth to appropriate variables modelled by the Fiscal Strategy Model in post-forecast projected years.</t>
  </si>
  <si>
    <t>(billions of $NZ)</t>
  </si>
  <si>
    <t>Capital contribution</t>
  </si>
  <si>
    <t>Revenue and gains/(losses) less non-tax expenses</t>
  </si>
  <si>
    <t>Tax expense</t>
  </si>
  <si>
    <t>Other movements in reserves</t>
  </si>
  <si>
    <t>Closing Fund Balance</t>
  </si>
  <si>
    <t>Check components sum to closing balance</t>
  </si>
  <si>
    <t>Historic data is shaded blue; the latest forecast base is shaded red; and post-forecast projections are shaded black.</t>
  </si>
  <si>
    <t>STUDENT LOANS SCHEME</t>
  </si>
  <si>
    <t>Other movements</t>
  </si>
  <si>
    <t>ACCIDENT COMPENSATION CORPORATION (ACC) ASSET &amp; LIABILITY TRACK</t>
  </si>
  <si>
    <t>Claims and other expenses</t>
  </si>
  <si>
    <t>Investment income</t>
  </si>
  <si>
    <t>Closing assets</t>
  </si>
  <si>
    <t>Closing liability</t>
  </si>
  <si>
    <t>KIWISAVER EXPENSES</t>
  </si>
  <si>
    <t>Subsidies (KickStart, interest, Tax Credit combined)</t>
  </si>
  <si>
    <t>GOVERNMENT SUPERANNUATION FUND (GSF)</t>
  </si>
  <si>
    <t>Pension expenses</t>
  </si>
  <si>
    <t>SOCIAL WELFARE MAIN WORKING-AGE BENEFITS DEMOGRAPHIC DISTRIBUTION OF RECIPIENTS</t>
  </si>
  <si>
    <t>Benefit category</t>
  </si>
  <si>
    <t>Jobseeker Support</t>
  </si>
  <si>
    <r>
      <t xml:space="preserve">Gender </t>
    </r>
    <r>
      <rPr>
        <sz val="10"/>
        <color indexed="8"/>
        <rFont val="Calibri"/>
        <family val="2"/>
      </rPr>
      <t>→</t>
    </r>
  </si>
  <si>
    <t>Female</t>
  </si>
  <si>
    <t>Male</t>
  </si>
  <si>
    <t>Sole Parent Support</t>
  </si>
  <si>
    <t>Supported Living Payment</t>
  </si>
  <si>
    <r>
      <t xml:space="preserve">Age Group (years) </t>
    </r>
    <r>
      <rPr>
        <sz val="10"/>
        <color indexed="8"/>
        <rFont val="Calibri"/>
        <family val="2"/>
      </rPr>
      <t>↓</t>
    </r>
  </si>
  <si>
    <t>Under 20 (18 &amp; 19)</t>
  </si>
  <si>
    <t>20 to 24</t>
  </si>
  <si>
    <t>25 to 29</t>
  </si>
  <si>
    <t>30 to 34</t>
  </si>
  <si>
    <t>35 to 39</t>
  </si>
  <si>
    <t>40 to 44</t>
  </si>
  <si>
    <t>45 to 49</t>
  </si>
  <si>
    <t>50 to 54</t>
  </si>
  <si>
    <t>55 to 59</t>
  </si>
  <si>
    <t>60 to 64</t>
  </si>
  <si>
    <t>65 and above</t>
  </si>
  <si>
    <t>All monetary values, unless otherwise stated, are in units of $NZ billions</t>
  </si>
  <si>
    <t>Nominal GDP (expenditure measure)</t>
  </si>
  <si>
    <t>Consumers Price Index (CPI)</t>
  </si>
  <si>
    <t>Government 5-year Bond Rate</t>
  </si>
  <si>
    <t>Average Weekly Hours Paid</t>
  </si>
  <si>
    <t>sum of 4 quarters</t>
  </si>
  <si>
    <t>Total Population (millions of people)</t>
  </si>
  <si>
    <t>Working Age Population (WAP) (age 15 &amp; above, millions)</t>
  </si>
  <si>
    <t>Unemployment Rate (aggregate unemployed as % of LF)</t>
  </si>
  <si>
    <r>
      <t xml:space="preserve">Labour Productivity Growth (real GDP </t>
    </r>
    <r>
      <rPr>
        <b/>
        <sz val="10"/>
        <rFont val="Calibri"/>
        <family val="2"/>
      </rPr>
      <t>÷</t>
    </r>
    <r>
      <rPr>
        <b/>
        <sz val="10"/>
        <rFont val="Arial"/>
        <family val="2"/>
      </rPr>
      <t xml:space="preserve"> total hours work)</t>
    </r>
  </si>
  <si>
    <t>Average Hourly Wage Growth (ordinary time wage)</t>
  </si>
  <si>
    <t>Average weekly wage (December quarter, ordinary time)</t>
  </si>
  <si>
    <t>HISTORICAL DATA AND FORECASTS FROM NEW ZEALAND SUPERANNUATION (NZS) MODEL</t>
  </si>
  <si>
    <t>The NZS Model is a separate Treasury spreadsheet model that calculates forecasts of NZS payment rates</t>
  </si>
  <si>
    <t xml:space="preserve">Net-of-tax December quarter average weekly wage </t>
  </si>
  <si>
    <t>Aggregate net-of-tax NZS expenditure</t>
  </si>
  <si>
    <t>annual avg of 4 qtrs</t>
  </si>
  <si>
    <t>annual avg % growth</t>
  </si>
  <si>
    <t>June quarter value</t>
  </si>
  <si>
    <t>average of 4 qtrs</t>
  </si>
  <si>
    <t>Dec quarter value</t>
  </si>
  <si>
    <t>1 April value</t>
  </si>
  <si>
    <t>June-end year value</t>
  </si>
  <si>
    <t>Assumptions for projection scenarios</t>
  </si>
  <si>
    <t>SCENARIO NAME:</t>
  </si>
  <si>
    <t>ECONOMIC ASSUMPTIONS</t>
  </si>
  <si>
    <t>Labour Productivity Growth</t>
  </si>
  <si>
    <t>Inflation Rate</t>
  </si>
  <si>
    <t>Unemployment Rate</t>
  </si>
  <si>
    <t>These are the economic variables most often altered in projection scenarios. They refer to long-run stable assumptions.</t>
  </si>
  <si>
    <t>Any year selection in the projection scenarios refers to a June-end year e.g. use 2020 to select the year 2019/20, the period from 1 July 2019 to 30 June 2020</t>
  </si>
  <si>
    <t>Use extended real GDP "forecasts" until this year</t>
  </si>
  <si>
    <t>Unemployment Rate (% points p.a.)</t>
  </si>
  <si>
    <t>Average Weekly Hours Paid (hours per week p.a.)</t>
  </si>
  <si>
    <t>Inflation Rate (% points p.a.)</t>
  </si>
  <si>
    <t>Government 5-year Bond Rate (% points p.a.)</t>
  </si>
  <si>
    <r>
      <t xml:space="preserve">SCENARIO SELECTED IN </t>
    </r>
    <r>
      <rPr>
        <b/>
        <i/>
        <sz val="12"/>
        <color indexed="8"/>
        <rFont val="Arial"/>
        <family val="2"/>
      </rPr>
      <t>CHOICES</t>
    </r>
    <r>
      <rPr>
        <b/>
        <sz val="12"/>
        <color indexed="8"/>
        <rFont val="Arial"/>
        <family val="2"/>
      </rPr>
      <t xml:space="preserve"> WORKSHEET </t>
    </r>
    <r>
      <rPr>
        <b/>
        <sz val="12"/>
        <color indexed="8"/>
        <rFont val="Calibri"/>
        <family val="2"/>
      </rPr>
      <t>→</t>
    </r>
  </si>
  <si>
    <t>Fiscal Year (1 July to following 30 June)</t>
  </si>
  <si>
    <t>ECONOMIC ACTUALS, FORECASTS AND PROJECTIONS</t>
  </si>
  <si>
    <t>Gross Domestic Product (GDP) measures</t>
  </si>
  <si>
    <t>annual percentage growth</t>
  </si>
  <si>
    <t>Labour Force (LF) Variables</t>
  </si>
  <si>
    <t>Labour Force (total for population, millions of people)</t>
  </si>
  <si>
    <t>Working Age Population (WAP) (aged 15 years and above, millions of people)</t>
  </si>
  <si>
    <t>From Economic Forecasts</t>
  </si>
  <si>
    <t>Aggregate Labour Force Participation Rate (LFPR) (LF as % of WAP)</t>
  </si>
  <si>
    <t>Employed Labour Force (LFx[1-UR])</t>
  </si>
  <si>
    <t>Unemployment Rate (UR) (total unemployed, as % of LF)</t>
  </si>
  <si>
    <r>
      <t xml:space="preserve">Average Weekly Hours Worked (AWHW) (total hrs work </t>
    </r>
    <r>
      <rPr>
        <b/>
        <sz val="10"/>
        <rFont val="Calibri"/>
        <family val="2"/>
      </rPr>
      <t>÷</t>
    </r>
    <r>
      <rPr>
        <b/>
        <sz val="10"/>
        <rFont val="Arial"/>
        <family val="2"/>
      </rPr>
      <t xml:space="preserve"> empl LF)</t>
    </r>
  </si>
  <si>
    <t>Average Weekly Hours Paid (AWHP)</t>
  </si>
  <si>
    <t>Price Measures</t>
  </si>
  <si>
    <t>Consumers Price Index (CPI) (June quarter value)</t>
  </si>
  <si>
    <t>Demographic Measures</t>
  </si>
  <si>
    <t>STATEMENT OF FINANCIAL PERFORMANCE</t>
  </si>
  <si>
    <t>Fiscal historical data and forecast base</t>
  </si>
  <si>
    <t xml:space="preserve">Historical data sourced from Treasury publications of past </t>
  </si>
  <si>
    <t>Economic &amp; Fiscal Updates</t>
  </si>
  <si>
    <t xml:space="preserve">Forecast data sourced from Treasury publication of latest Economic &amp; Fiscal Update </t>
  </si>
  <si>
    <t>Taxation revenue</t>
  </si>
  <si>
    <t>Other sovereign revenue</t>
  </si>
  <si>
    <t>Sales of goods and services</t>
  </si>
  <si>
    <t>Interest revenue and dividends</t>
  </si>
  <si>
    <t>Other revenue</t>
  </si>
  <si>
    <t>Total revenue (excluding gains)</t>
  </si>
  <si>
    <t>Transfer payments and subsidies</t>
  </si>
  <si>
    <t>Personnel expenses</t>
  </si>
  <si>
    <t>Depreciation and amortisation</t>
  </si>
  <si>
    <t>Other operating expenses</t>
  </si>
  <si>
    <t>Interest expenses</t>
  </si>
  <si>
    <t>Insurance expenses</t>
  </si>
  <si>
    <t>Forecast new operating spending</t>
  </si>
  <si>
    <t>Top-down expense adjustment</t>
  </si>
  <si>
    <t>Total expenses (excluding losses)</t>
  </si>
  <si>
    <t>Minority share of operating balance before gains/losses</t>
  </si>
  <si>
    <t>Operating balance before gains/(losses) [OBEGAL]</t>
  </si>
  <si>
    <t>Net gains/(losses) on financial instruments</t>
  </si>
  <si>
    <t>Net gains/(losses) on non-financial instruments</t>
  </si>
  <si>
    <t>Total gains/(losses)</t>
  </si>
  <si>
    <t>Net surplus from associates and joint ventures</t>
  </si>
  <si>
    <t>Total Crown Expenses - By functional classification</t>
  </si>
  <si>
    <t>Social security and welfare</t>
  </si>
  <si>
    <t>Health</t>
  </si>
  <si>
    <t>Education</t>
  </si>
  <si>
    <t>Core government services</t>
  </si>
  <si>
    <t>Law and order</t>
  </si>
  <si>
    <t>Defence</t>
  </si>
  <si>
    <t>Transport and communication</t>
  </si>
  <si>
    <t>Economic and industrial services</t>
  </si>
  <si>
    <t>Primary services</t>
  </si>
  <si>
    <t>Heritage, culture and recreation</t>
  </si>
  <si>
    <t>Housing and community development</t>
  </si>
  <si>
    <t>Environmental protection</t>
  </si>
  <si>
    <t>Other</t>
  </si>
  <si>
    <t>Finance costs</t>
  </si>
  <si>
    <t>Core Crown Expenses - By functional classification</t>
  </si>
  <si>
    <t>Taxation receipts</t>
  </si>
  <si>
    <t>Other sovereign receipts</t>
  </si>
  <si>
    <t>Interest and dividend receipts</t>
  </si>
  <si>
    <t>Other operating receipts</t>
  </si>
  <si>
    <t>Total cash provided from operations</t>
  </si>
  <si>
    <t>Personnel and operating payments</t>
  </si>
  <si>
    <t>Interest payments</t>
  </si>
  <si>
    <t>Total Crown expenses (incl Fcst new op spend &amp; T-d adj)</t>
  </si>
  <si>
    <t>Core Crown expenses (incl Fcst new op spend &amp; T-d adj)</t>
  </si>
  <si>
    <t>Cash disbursed to ops (incl Fcst new op spend &amp; T-d adj)</t>
  </si>
  <si>
    <t>Net cash flows from operations</t>
  </si>
  <si>
    <t>Net sales/(purchase) of physical assets</t>
  </si>
  <si>
    <t>Net sales/(purchase) of shares and other securities</t>
  </si>
  <si>
    <t>Net sales/(purchase) of intangible assets</t>
  </si>
  <si>
    <t xml:space="preserve">Net repayment/(issue) of advances </t>
  </si>
  <si>
    <t>Net divestment/(acquisition) of investments in associates</t>
  </si>
  <si>
    <t>Net cash flows from operating and investing activities</t>
  </si>
  <si>
    <t>Issues of circulating currency</t>
  </si>
  <si>
    <t xml:space="preserve">Net issue/(repayment) of government stock </t>
  </si>
  <si>
    <t xml:space="preserve">Net issue/(repayment) of foreign-currency borrowings </t>
  </si>
  <si>
    <t xml:space="preserve">Net issue/(repayment) of other New Zealand dollar borrowings </t>
  </si>
  <si>
    <t>Dividends received from/(paid to) minority interests</t>
  </si>
  <si>
    <t>Net cash flows from financing activities</t>
  </si>
  <si>
    <t>Net movement in cash</t>
  </si>
  <si>
    <t>Foreign exchange gains/(losses) on opening cash balance</t>
  </si>
  <si>
    <t>CHECK: ΔCash asset =Net mvmt cash +Forex gains/(loss)</t>
  </si>
  <si>
    <t>Reconciliation: Operating cash flows to operating balance</t>
  </si>
  <si>
    <t>Net cash flows from operations plus Total gains/(losses)</t>
  </si>
  <si>
    <t>Write-down on initial recognition of financial assets</t>
  </si>
  <si>
    <t>Impairment on financial assets (excludes receivables)</t>
  </si>
  <si>
    <t>Decrease/(increase) in defined benefit retirement plan liabilities</t>
  </si>
  <si>
    <t>Decrease/(increase) in insurance liabilities</t>
  </si>
  <si>
    <t>Total other non-cash items (incl Deprectn &amp; amortisation)</t>
  </si>
  <si>
    <t>Increase/(decrease) in receivables</t>
  </si>
  <si>
    <t>Increase/(decrease) in accrued interest</t>
  </si>
  <si>
    <t>Increase/(decrease) in inventories</t>
  </si>
  <si>
    <t>Increase/(decrease) in prepayments</t>
  </si>
  <si>
    <t>Decrease/(increase) in deferred revenue</t>
  </si>
  <si>
    <t>Decrease/(increase) in payables/provisions</t>
  </si>
  <si>
    <t>Total movements in working capital</t>
  </si>
  <si>
    <t>CHECK: Op Bal =Rev -Exps +Gains +Net Surp &amp; Min Sh</t>
  </si>
  <si>
    <t>CHECK: Op Bal =Op cash +Gains +Non-cash Itm +Mvt WC</t>
  </si>
  <si>
    <t>Cash and cash equivalents</t>
  </si>
  <si>
    <t>Receivables</t>
  </si>
  <si>
    <t>Marketable securities, deposits and derivatives in gain</t>
  </si>
  <si>
    <t>Share investments</t>
  </si>
  <si>
    <t>Advances</t>
  </si>
  <si>
    <t>Inventory</t>
  </si>
  <si>
    <t>Other assets</t>
  </si>
  <si>
    <t xml:space="preserve">Property, plant and equipment </t>
  </si>
  <si>
    <t>Equity accounted investments</t>
  </si>
  <si>
    <t>Intangible assets and goodwill</t>
  </si>
  <si>
    <t>Forecast for new capital spending</t>
  </si>
  <si>
    <t>Top-down capital adjustment</t>
  </si>
  <si>
    <t>Total assets</t>
  </si>
  <si>
    <t>Forecast new capital spending</t>
  </si>
  <si>
    <t>Issued currency</t>
  </si>
  <si>
    <t>Payables</t>
  </si>
  <si>
    <t>Deferred revenue</t>
  </si>
  <si>
    <t>Borrowings</t>
  </si>
  <si>
    <t>Insurance liabilities</t>
  </si>
  <si>
    <t>Retirement plan liabilities</t>
  </si>
  <si>
    <t>Provisions</t>
  </si>
  <si>
    <t>Total liabilities</t>
  </si>
  <si>
    <t>Total net worth</t>
  </si>
  <si>
    <t>CHECK: Net worth =Total assets - Total liabilities</t>
  </si>
  <si>
    <t xml:space="preserve">Revenue from non-tax sources </t>
  </si>
  <si>
    <t>Debt-financing cost expenses</t>
  </si>
  <si>
    <t>Government bonds</t>
  </si>
  <si>
    <t>Treasury bills</t>
  </si>
  <si>
    <t>Government retail stock</t>
  </si>
  <si>
    <t>Settlement deposits with Reserve Bank</t>
  </si>
  <si>
    <t>Derivatives in loss</t>
  </si>
  <si>
    <t>Finance lease liabilities</t>
  </si>
  <si>
    <t>Other borrowings</t>
  </si>
  <si>
    <t>Total borrowings</t>
  </si>
  <si>
    <t>Core crown borrowings</t>
  </si>
  <si>
    <t>CHECK: Total borrowings =Value in Stmt of Fin Position</t>
  </si>
  <si>
    <t>Less core Crown financial assets (excluding receivables)</t>
  </si>
  <si>
    <t>Net core Crown debt</t>
  </si>
  <si>
    <t>Gross sovereign-issued debt (GSID)</t>
  </si>
  <si>
    <t>CHECK: ND exNZSF&amp;advs =GSID -CCFA +advs +NZSF FA</t>
  </si>
  <si>
    <t>Reserve Bank settlement cash and bank bills</t>
  </si>
  <si>
    <t>Changes to Debt Mgmt Office borrowing due to settlement cash</t>
  </si>
  <si>
    <t>GSID excl RB settlement cash &amp; bank bills</t>
  </si>
  <si>
    <t>Revenue (excluding gains)</t>
  </si>
  <si>
    <t>Expenses (excluding losses)</t>
  </si>
  <si>
    <t>Gains/(losses)</t>
  </si>
  <si>
    <t>STATEMENT OF FINANCIAL POSITION</t>
  </si>
  <si>
    <t>Non-finance costs expenses (excluding Forecast new operating spending)</t>
  </si>
  <si>
    <t>Financial assets (Cash, receivables, marketable securities etc, shares, advances)</t>
  </si>
  <si>
    <t>Property, plant and equipment</t>
  </si>
  <si>
    <t>Other non-financial assets (excluding Forecast new capital spending)</t>
  </si>
  <si>
    <t>Assets</t>
  </si>
  <si>
    <t>Other liabilities</t>
  </si>
  <si>
    <t>Liabilities</t>
  </si>
  <si>
    <t>Net worth (= Total assets - Total liabilities)</t>
  </si>
  <si>
    <t>NOTES TO THE FINANCIAL STATEMENTS</t>
  </si>
  <si>
    <t>Taxation revenue (accrual)</t>
  </si>
  <si>
    <t>Source deductions</t>
  </si>
  <si>
    <t>Source deductions (mainly PAYE on wages and salaries)</t>
  </si>
  <si>
    <t>From Fiscal Forecasts</t>
  </si>
  <si>
    <t>TAX REVENUE ASSUMPTIONS</t>
  </si>
  <si>
    <t>Use fiscal drag in projecting source deductions until this year</t>
  </si>
  <si>
    <t>select a year inside the forecast horizon (or earlier). When real GDP values are imposed in projected years,</t>
  </si>
  <si>
    <t>Real GDP forecasts can be extended into the projection period up until the year nominated. If this is not desired,</t>
  </si>
  <si>
    <t>from their end-of-forecast values.</t>
  </si>
  <si>
    <t>Select annual transition rates for each of the economic variables to reach their long-run stable assumptions</t>
  </si>
  <si>
    <t>To apply fiscal drag in modelling projected source deductions (PAYE) tax revenue, choose a year up until it will be used.</t>
  </si>
  <si>
    <t>If fiscal drag modelling is not desired, select a year before projections begin. In years when fiscal drag modelling is not</t>
  </si>
  <si>
    <t>labour productivity growth becomes the residual of the real GDP production function calculation.</t>
  </si>
  <si>
    <t>Unless otherwise stated, the term GDP in the instructions and notes below should be taken to refer to nominal GDP.</t>
  </si>
  <si>
    <t>that the various assumptions entered in the column below the scenario name are used in the modelling worksheet.</t>
  </si>
  <si>
    <t>The same scenario name written here should also be entered in cell B1 of the modelling worksheet. This will ensure</t>
  </si>
  <si>
    <t>Fiscal drag elasticity (multiplier of nominal wage growth)</t>
  </si>
  <si>
    <t>used, source deductions are brought to their long-run stable % of nominal GDP and then retained at this in later years.</t>
  </si>
  <si>
    <t>Long-run stable % of nominal GDP for source deductions</t>
  </si>
  <si>
    <t>Transition rate to stable ratio for all tax types (% points p.a.)</t>
  </si>
  <si>
    <t>Fiscal drag elasticity on source deductions</t>
  </si>
  <si>
    <t>Corporate tax</t>
  </si>
  <si>
    <t>Total corporate tax (mainly company tax)</t>
  </si>
  <si>
    <r>
      <rPr>
        <i/>
        <sz val="10"/>
        <color indexed="12"/>
        <rFont val="Arial"/>
        <family val="2"/>
      </rPr>
      <t>Historic years are shaded blue</t>
    </r>
    <r>
      <rPr>
        <i/>
        <sz val="10"/>
        <color indexed="8"/>
        <rFont val="Arial"/>
        <family val="2"/>
      </rPr>
      <t xml:space="preserve">; </t>
    </r>
    <r>
      <rPr>
        <i/>
        <sz val="10"/>
        <color indexed="10"/>
        <rFont val="Arial"/>
        <family val="2"/>
      </rPr>
      <t>forecast years are shaded red;</t>
    </r>
    <r>
      <rPr>
        <i/>
        <sz val="10"/>
        <color indexed="8"/>
        <rFont val="Arial"/>
        <family val="2"/>
      </rPr>
      <t xml:space="preserve"> and post-forecast projection years are shaded black.</t>
    </r>
  </si>
  <si>
    <t>Long-run stable % of nominal GDP for corporate tax</t>
  </si>
  <si>
    <t>Total goods and services tax (consolidated GST)</t>
  </si>
  <si>
    <t>Total goods and services tax (GST)</t>
  </si>
  <si>
    <t>Long-run stable % of nominal GDP for GST</t>
  </si>
  <si>
    <t>Hypothecated transport taxes</t>
  </si>
  <si>
    <t>Hypothecated transport taxes (petrol duties, road user charges &amp; vehicle regn fees)</t>
  </si>
  <si>
    <t>Long-run stable % of nominal GDP for transport taxes</t>
  </si>
  <si>
    <t>Long-run stable % of nominal GDP for remaining taxes</t>
  </si>
  <si>
    <t>Long-run stable % of nominal GDP for tax elimination</t>
  </si>
  <si>
    <t>Remaining tax types</t>
  </si>
  <si>
    <t>Total taxation revenue</t>
  </si>
  <si>
    <t>STATEMENT OF CASH FLOWS</t>
  </si>
  <si>
    <t>STATEMENT OF BORROWINGS</t>
  </si>
  <si>
    <t>STATEMENT OF SEGMENTS</t>
  </si>
  <si>
    <t>Core Crown tax revenue</t>
  </si>
  <si>
    <t>Core Crown taxation revenue</t>
  </si>
  <si>
    <t>Other sovereign revenue (accrual)</t>
  </si>
  <si>
    <t>Child support</t>
  </si>
  <si>
    <t>Remaining other sovereign revenue types</t>
  </si>
  <si>
    <t>Accident Compensation Corporation (ACC) levies</t>
  </si>
  <si>
    <t>Earthquake Commission (EQC) levies</t>
  </si>
  <si>
    <t>Other core Crown sovereign revenue</t>
  </si>
  <si>
    <t>Core Crown other sovereign revenue</t>
  </si>
  <si>
    <t>Other non-core Crown sovereign revenue</t>
  </si>
  <si>
    <t>Total other sovereign revenue</t>
  </si>
  <si>
    <t>Core Crown sales of goods and services</t>
  </si>
  <si>
    <t>Total sales of goods and services (dominated by SOE sales)</t>
  </si>
  <si>
    <t>Student loans (interest unwind)</t>
  </si>
  <si>
    <t>Other core Crown interest revenue and dividends</t>
  </si>
  <si>
    <t>Core Crown interest revenue and dividends</t>
  </si>
  <si>
    <t>Core Crown</t>
  </si>
  <si>
    <t>Crown entities</t>
  </si>
  <si>
    <t>State-owned enterprises</t>
  </si>
  <si>
    <t>Inter-segment eliminations</t>
  </si>
  <si>
    <t xml:space="preserve">Crown entities </t>
  </si>
  <si>
    <t>State-owned enterprises (SOEs)</t>
  </si>
  <si>
    <t>Inter-segment elimination</t>
  </si>
  <si>
    <t>Total interest revenue and dividends</t>
  </si>
  <si>
    <t>Core Crown other revenue</t>
  </si>
  <si>
    <t>Total other revenue</t>
  </si>
  <si>
    <t>New Zealand Superannuation (NZS)</t>
  </si>
  <si>
    <t>Jobseeker Support and Emergency Benefit</t>
  </si>
  <si>
    <t>Earlier forms of main working-age benefits (Unemployment, Sickness, DPB, Invalids)</t>
  </si>
  <si>
    <t>Other Working for Families tax credits</t>
  </si>
  <si>
    <t>Accommodation Assistance</t>
  </si>
  <si>
    <t>Income-related rents</t>
  </si>
  <si>
    <t>Disability Assistance</t>
  </si>
  <si>
    <t>Family Tax Credit</t>
  </si>
  <si>
    <t>Emission Trading Scheme (ETS) revenue</t>
  </si>
  <si>
    <t>Student Allowances</t>
  </si>
  <si>
    <t>Other social assistance benefits</t>
  </si>
  <si>
    <t>Total social assistance grants</t>
  </si>
  <si>
    <t>KiwiSaver subsidies</t>
  </si>
  <si>
    <t>Official development assistance</t>
  </si>
  <si>
    <t>Total transfer payments and subsidies</t>
  </si>
  <si>
    <t>Net (of tax &amp; ACC Earner levy) December quarter AOTWE ($ per week)</t>
  </si>
  <si>
    <t>Net (of tax) weekly per person (half) of couple rate of NZS ($ per week)</t>
  </si>
  <si>
    <t>INDEXATION OF NEW ZEALAND SUPERANNUATION (NZS)</t>
  </si>
  <si>
    <t>Current NZS policy is to index rate between 65% &amp; 72.5% of the net average ordinary time weekly earnings (AOTWE).</t>
  </si>
  <si>
    <t>AOTWE % floor for NZS indexation of net couple rate</t>
  </si>
  <si>
    <t>AOTWE % ceiling for NZS indexation of net couple rate</t>
  </si>
  <si>
    <t>To ensure just CPI-based inflation indexation is applied in projections, set the wage floor % to zero.</t>
  </si>
  <si>
    <t>Gross weekly per person (half) of couple rate of NZS ($ per week)</t>
  </si>
  <si>
    <t>Net-of-tax weekly NZS rate (half of couple, index 1 April)</t>
  </si>
  <si>
    <t>Gross weekly NZS rate (half of couple, index 1 April)</t>
  </si>
  <si>
    <t>ANNUAL GROWTH RATES OF SELECTED AGE AND GENDER GROUPS (%)</t>
  </si>
  <si>
    <t>18 &amp; 19</t>
  </si>
  <si>
    <t>65 &amp; above</t>
  </si>
  <si>
    <t>BOTH GENDERS</t>
  </si>
  <si>
    <t>15 to 64</t>
  </si>
  <si>
    <t>Core Crown transfer payments and subsidies</t>
  </si>
  <si>
    <t>Welfare benefits (approx. as Total social assistance grants excl. Student Allowances)</t>
  </si>
  <si>
    <t>Departmental and non-departmental social security and welfare expenses</t>
  </si>
  <si>
    <t>Core Crown social security and welfare expenses</t>
  </si>
  <si>
    <t>Crown entities social security and welfare payments (dominated by ACC claims)</t>
  </si>
  <si>
    <t>Crown entities social security and welfare</t>
  </si>
  <si>
    <t>Total Crown social security and welfare expenses</t>
  </si>
  <si>
    <t>TERTIARY EDUCATION EQUIVALENT FULL-TIME STUDENTS DEMOGRAPHIC DISTRIBUTION</t>
  </si>
  <si>
    <t>CALENDAR YEAR</t>
  </si>
  <si>
    <t>Aged under 18</t>
  </si>
  <si>
    <t>Apply as 16 &amp; 17</t>
  </si>
  <si>
    <t>Aged 18 and 19</t>
  </si>
  <si>
    <t>Apply as 18 &amp; 19</t>
  </si>
  <si>
    <t>Aged 20 to 24</t>
  </si>
  <si>
    <t>Aged 25 to 39</t>
  </si>
  <si>
    <t>Apply as 20 to 24</t>
  </si>
  <si>
    <t>Apply as 25 to 39</t>
  </si>
  <si>
    <t>Aged 40 and over</t>
  </si>
  <si>
    <t>1/2 40-49, 1/2 50-75</t>
  </si>
  <si>
    <t>AVERAGE</t>
  </si>
  <si>
    <t>Total Tertiary EFT</t>
  </si>
  <si>
    <t>16 &amp; 17</t>
  </si>
  <si>
    <t>25 to 39</t>
  </si>
  <si>
    <t>40 to 49</t>
  </si>
  <si>
    <t>50 to 75</t>
  </si>
  <si>
    <t>Total personnel expenses</t>
  </si>
  <si>
    <t>Non-Earners' Account &amp; Non-Earners' Injury Treatment claims and other expenses</t>
  </si>
  <si>
    <t>Non-Earners' Account &amp; Non-Earners' Injury Treatment levy income</t>
  </si>
  <si>
    <t>Levy income</t>
  </si>
  <si>
    <t>Depreciation and amortisation expenses</t>
  </si>
  <si>
    <t>ACC</t>
  </si>
  <si>
    <t>EQC</t>
  </si>
  <si>
    <t>Other (including inter-segment elimination)</t>
  </si>
  <si>
    <t>Total depreciation and amortisation</t>
  </si>
  <si>
    <t>Total other operating expenses</t>
  </si>
  <si>
    <t>Total interest expenses</t>
  </si>
  <si>
    <t>Other (includes Southern Response and inter-segment elimination)</t>
  </si>
  <si>
    <t>Total insurance expenses</t>
  </si>
  <si>
    <t>Core Crown insurance expenses</t>
  </si>
  <si>
    <t>Annual increment to forecast new operating spending</t>
  </si>
  <si>
    <t>NEW OPERATING SPENDING (ANNUAL INCREMENT)</t>
  </si>
  <si>
    <t>New operating spending annual increment in 1st projected year</t>
  </si>
  <si>
    <t>Enter amount of annual increment to forecast new operating spending in the first projected year in units of $ billion.</t>
  </si>
  <si>
    <t>Growth rate of projected operating spending annual increments</t>
  </si>
  <si>
    <t>Enter annual % growth rate to apply to annual increments of new operating spending from the 1st projected year value.</t>
  </si>
  <si>
    <t xml:space="preserve">Core Crown Government Superannuation Fund (GSF) pension expenses </t>
  </si>
  <si>
    <t>Total GSF pension expenses</t>
  </si>
  <si>
    <t>Total health expenses</t>
  </si>
  <si>
    <t>Student allowances</t>
  </si>
  <si>
    <t>Other core Crown education expenses</t>
  </si>
  <si>
    <t>Core Crown education expenses</t>
  </si>
  <si>
    <t>Revenue</t>
  </si>
  <si>
    <t>Less current tax expense</t>
  </si>
  <si>
    <t>Less other expenses</t>
  </si>
  <si>
    <t>Add gains/(losses)</t>
  </si>
  <si>
    <t>Closing net worth</t>
  </si>
  <si>
    <t>Financial assets</t>
  </si>
  <si>
    <t>Financial liabilities</t>
  </si>
  <si>
    <t>Net other assets</t>
  </si>
  <si>
    <t>Comprising:</t>
  </si>
  <si>
    <t>CHECK: Calc closg net worth =Sum of three components</t>
  </si>
  <si>
    <t>Gross capital contribution from the Crown</t>
  </si>
  <si>
    <t>Capital contribution from Crown</t>
  </si>
  <si>
    <t>Amount borrowed in current year</t>
  </si>
  <si>
    <t>Less initial write-down to fair value</t>
  </si>
  <si>
    <t>Repayments made during the year</t>
  </si>
  <si>
    <t>Interest unwind</t>
  </si>
  <si>
    <t>(Impairment)/reversal of impairment</t>
  </si>
  <si>
    <t>Closing book value</t>
  </si>
  <si>
    <t>Total education expenses</t>
  </si>
  <si>
    <t>Transport and communications expenses</t>
  </si>
  <si>
    <t>Total transport and communications expenses</t>
  </si>
  <si>
    <t>Crown entities transport and communications expenses</t>
  </si>
  <si>
    <t>SOE transport and communications expenses</t>
  </si>
  <si>
    <t>Education expenses</t>
  </si>
  <si>
    <t>Core Crown core government services expenses</t>
  </si>
  <si>
    <t>Total core government services expenses</t>
  </si>
  <si>
    <t>Core Crown law and order expenses</t>
  </si>
  <si>
    <t>Total law and order expenses</t>
  </si>
  <si>
    <t>Core Crown defence expenses</t>
  </si>
  <si>
    <t>Total defence expenses</t>
  </si>
  <si>
    <t>Economic and industrial services expenses</t>
  </si>
  <si>
    <t>Core government services expenses</t>
  </si>
  <si>
    <t>Core Crown economic and industrial services expenses</t>
  </si>
  <si>
    <t>Total economic and industrial services expenses</t>
  </si>
  <si>
    <t>Other core Crown core government services expenses</t>
  </si>
  <si>
    <t>Emission Trading Scheme (ETS)</t>
  </si>
  <si>
    <t>Expenses</t>
  </si>
  <si>
    <t>Core Crown primary services expenses</t>
  </si>
  <si>
    <t>Total primary services expenses</t>
  </si>
  <si>
    <t>Core Crown heritage, culture and recreation expenses</t>
  </si>
  <si>
    <t>Total heritage, culture and recreation expenses</t>
  </si>
  <si>
    <t>Core Crown housing and community development expenses</t>
  </si>
  <si>
    <t>Total housing and community development expenses</t>
  </si>
  <si>
    <t>Environmental protection expenses</t>
  </si>
  <si>
    <t>Other core Crown environmental protection expenses</t>
  </si>
  <si>
    <t>Core Crown environmental protection expenses</t>
  </si>
  <si>
    <t>Total environmental protection expenses</t>
  </si>
  <si>
    <t>Emission Trading Scheme expenses</t>
  </si>
  <si>
    <t>Core Crown other expenses</t>
  </si>
  <si>
    <t>Total other expenses</t>
  </si>
  <si>
    <t>Unallocated contingencies</t>
  </si>
  <si>
    <t>Forecast new spending for Budget in first forecast year</t>
  </si>
  <si>
    <t>Forecast new spending for Budget in second forecast year</t>
  </si>
  <si>
    <t>Forecast new spending for Budget in third forecast year</t>
  </si>
  <si>
    <t>Forecast new spending for Budget in fourth forecast year</t>
  </si>
  <si>
    <t>Forecast new spending for Budget in fifth forecast year</t>
  </si>
  <si>
    <t>Forecast new spending for Budgets in projected years</t>
  </si>
  <si>
    <t>Total forecast new capital spending (cumulative)</t>
  </si>
  <si>
    <t>Capital top-down adjustment (cumulative)</t>
  </si>
  <si>
    <t>Forecast new operating spending for second forecast year</t>
  </si>
  <si>
    <t>Forecast new operating spending for third forecast year</t>
  </si>
  <si>
    <t>Forecast new operating spending for fourth forecast year</t>
  </si>
  <si>
    <t>Forecast new operating spending for fifth forecast year</t>
  </si>
  <si>
    <t>CHECK: Fcst NCS in Stmt Fncl Posn = Cum sum over yrs</t>
  </si>
  <si>
    <t>NEW CAPITAL SPENDING (ANNUAL INCREMENT)</t>
  </si>
  <si>
    <t>Enter amount of annual increment to forecast new capital spending in the first projected year in units of $ billion.</t>
  </si>
  <si>
    <t>Enter annual % growth rate to apply to annual increments of new capital spending from the 1st projected year value.</t>
  </si>
  <si>
    <t>New capital spending annual increment in 1st projected year</t>
  </si>
  <si>
    <t>Growth rate of projected capital spending annual increments</t>
  </si>
  <si>
    <t>Total addition to forecast new capital spending in year</t>
  </si>
  <si>
    <t>Gains and losses on financial instruments</t>
  </si>
  <si>
    <t>CHECK: Tax rev in Stmt Fncl Perfm =Sum of tax types</t>
  </si>
  <si>
    <t>CHECK: OS rev in Stmt Fncl Perfm =Sum of OSR types</t>
  </si>
  <si>
    <t>CHECK: Int rev in Stmt Fncl Perfm =Sum of segments</t>
  </si>
  <si>
    <t>CHECK: Trnfr pymts in Stmt Fncl Perfm =Sum of types</t>
  </si>
  <si>
    <t>CHECK: Persnl exps in Stmt Fncl Perfm =Sum of types</t>
  </si>
  <si>
    <t>CHECK: D &amp; A exps in Stmt Fncl Perfm =Sum of types</t>
  </si>
  <si>
    <t>CHECK: Oth op exps in Stmt Fncl Perfm =Sum of types</t>
  </si>
  <si>
    <t>CHECK: Interest exp in Stmt Fncl Perfm =Sum of types</t>
  </si>
  <si>
    <t>CHECK: Insnce exp in Stmt Fncl Perfm =Sum of entities</t>
  </si>
  <si>
    <t>CHECK: Fcst NOS in Stmt Fncl Perfm =Sum over years</t>
  </si>
  <si>
    <t>CHECK: Net g/l fncl ins in Stmt Fncl Perfm =Sum of types</t>
  </si>
  <si>
    <t>Total gains and losses on financial instruments</t>
  </si>
  <si>
    <t>Gains and losses on non-financial instruments</t>
  </si>
  <si>
    <t>Actuarial gains/(losses) on GSF liability</t>
  </si>
  <si>
    <t>Government Superannuation Fund (GSF) pension expense</t>
  </si>
  <si>
    <t>Accident Compensation Corporation (ACC)</t>
  </si>
  <si>
    <t>Earthquake Commission (EQC)</t>
  </si>
  <si>
    <t>Actuarial gains/(losses) on ACC outstanding claims</t>
  </si>
  <si>
    <t>Minority interest share of net gains/(losses)</t>
  </si>
  <si>
    <t>CHECK: G/l nfi &amp; mn sh in Stmt Fncl Perfm =Sum of types</t>
  </si>
  <si>
    <t>Total gains and losses on non-financial instruments</t>
  </si>
  <si>
    <t>CHECK: Operating blnc in Stmt Fncl Perfm =Sum of types</t>
  </si>
  <si>
    <t>Core Crown net surplus from associates and joint ventures</t>
  </si>
  <si>
    <t>Core Crown net surplus/(deficit) from associates and joint ventures</t>
  </si>
  <si>
    <t>Total net surplus/(deficit) from associates and joint ventures</t>
  </si>
  <si>
    <t>Core Crown cash and cash equivalents</t>
  </si>
  <si>
    <t>Total cash and cash equivalents</t>
  </si>
  <si>
    <t>Core Crown receivables</t>
  </si>
  <si>
    <t>Total receivables</t>
  </si>
  <si>
    <t>Tax receivables</t>
  </si>
  <si>
    <t>Trade and other receivables</t>
  </si>
  <si>
    <t>Kiwibank mortgages</t>
  </si>
  <si>
    <t>Long-term deposits</t>
  </si>
  <si>
    <t>International Monetary Fund (IMF) financial assets</t>
  </si>
  <si>
    <t>Other advances (excluding Student Loans)</t>
  </si>
  <si>
    <t>Derivatives in gain</t>
  </si>
  <si>
    <t>Other marketable securities</t>
  </si>
  <si>
    <t>Total financial assets</t>
  </si>
  <si>
    <t>CHECK: Sum of 5 FA classes in Stmt Fncl Posn =Total FA</t>
  </si>
  <si>
    <t>CHECK: Receivables in Stmt Fncl Posn =Tax R + Trade R</t>
  </si>
  <si>
    <t>CHECK: MSDs in Stmt Fncl Posn =Sum of LTD,IMF,Dv,Oth</t>
  </si>
  <si>
    <t>CHECK: Advs in Stmt Fncl Posn =Sum of KBM,SLnote,Oth</t>
  </si>
  <si>
    <t>Core Crown financial assets</t>
  </si>
  <si>
    <t>New Zealand Debt Management Office (DMO)</t>
  </si>
  <si>
    <t>Reserve Bank of New Zealand</t>
  </si>
  <si>
    <t>New Zealand Superannuation Fund (NZSF)</t>
  </si>
  <si>
    <t>Other core Crown (excluding NZSF)</t>
  </si>
  <si>
    <t>Intra-segment eliminations</t>
  </si>
  <si>
    <t>Core Crown marketable securities, deposits, derivatives in gain</t>
  </si>
  <si>
    <t>Core Crown share investments</t>
  </si>
  <si>
    <t>Core Crown advances</t>
  </si>
  <si>
    <t xml:space="preserve">CHECK: Sum 5 FA classes in Stmt Sgmts =Sum 4 +NZSF </t>
  </si>
  <si>
    <t>ACC portfolio</t>
  </si>
  <si>
    <t>EQC portfolio</t>
  </si>
  <si>
    <t>Other Crown entities</t>
  </si>
  <si>
    <t>Total State-owned enterprises segment</t>
  </si>
  <si>
    <t>CHECK: Sum FA classes in Stmt Fncl Posn =Sum entities</t>
  </si>
  <si>
    <t>CHECK: Stud Loans in Fncl Asset note = Calc closg bk val</t>
  </si>
  <si>
    <t>CHECK: PP&amp;E in Stmt Fncl Posn =Sum of entities</t>
  </si>
  <si>
    <t>Schedule of movements</t>
  </si>
  <si>
    <t>Additions</t>
  </si>
  <si>
    <t>Disposals</t>
  </si>
  <si>
    <t>Net revaluations</t>
  </si>
  <si>
    <t>Other (mainly transfers to/from other asset categories)</t>
  </si>
  <si>
    <t>Closing balance of cost or valuation</t>
  </si>
  <si>
    <t>Eliminated on disposal</t>
  </si>
  <si>
    <t>Eliminated on revaluation</t>
  </si>
  <si>
    <t>Impairment losses charged to operating balance</t>
  </si>
  <si>
    <t>Depreciation expense</t>
  </si>
  <si>
    <t>Total accumulated depreciation and impairment</t>
  </si>
  <si>
    <t>CHECK: PP&amp;E in Stmt Fncl Posn =Cl bal cost less Tot D&amp;I</t>
  </si>
  <si>
    <t>Net worth attributable to minority interest</t>
  </si>
  <si>
    <t>Net worth attributable to minority interests</t>
  </si>
  <si>
    <t>Total net worth attributable to the Crown</t>
  </si>
  <si>
    <t>Total sovereign-guaranteed debt</t>
  </si>
  <si>
    <t>Total non-sovereign-guaranteed debt</t>
  </si>
  <si>
    <t>Core Crown borrowings (includes unsettled purchases of securities)</t>
  </si>
  <si>
    <t>CHECK: IA&amp;G in Stmt Fncl Posn =Sum of entities</t>
  </si>
  <si>
    <t>CHECK: Payables in Stmt Fncl Posn =Sum of entities</t>
  </si>
  <si>
    <t>Marketable securities, deposits and derivatives in gains and Share investments</t>
  </si>
  <si>
    <t>Crown entities mrktable securities, deposits, derivatives in gain</t>
  </si>
  <si>
    <t>SOE marketable securities, deposits, derivatives in gain</t>
  </si>
  <si>
    <t>Crown entities share investments</t>
  </si>
  <si>
    <t>SOE share investments</t>
  </si>
  <si>
    <t>Total marketable securities, deposits, derivatives in gains &amp; Share investments</t>
  </si>
  <si>
    <t>Less core Crown financial assets (excludes receivables)</t>
  </si>
  <si>
    <t>Student loans</t>
  </si>
  <si>
    <t>Other core Crown advances</t>
  </si>
  <si>
    <t>Kiwibank mortgages (SOE)</t>
  </si>
  <si>
    <t>Total advances</t>
  </si>
  <si>
    <t>Other non-core Crown advances, mainly inter-segment elimination</t>
  </si>
  <si>
    <t>Other (includes inter-segment elimination)</t>
  </si>
  <si>
    <t>Net annual change in gross liability</t>
  </si>
  <si>
    <t>Closing ACC gross liability</t>
  </si>
  <si>
    <t>Net annual change in net assets</t>
  </si>
  <si>
    <t>Closing ACC net assets</t>
  </si>
  <si>
    <t>Government Superannuation Fund (GSF)</t>
  </si>
  <si>
    <t>Accident Compensation Corporation assets and liabilities</t>
  </si>
  <si>
    <t>Other funds</t>
  </si>
  <si>
    <t>CHECK: Insnce liab in Stmt Fncl Posn =Sum of types</t>
  </si>
  <si>
    <t>CHECK: Ret plan liab in Stmt Fncl Posn =Sum of types</t>
  </si>
  <si>
    <t>Government Superannuation Fund assets and liabilities</t>
  </si>
  <si>
    <t>Net annual change in liability</t>
  </si>
  <si>
    <t>Closing GSF liability</t>
  </si>
  <si>
    <t>Investment valuation changes</t>
  </si>
  <si>
    <t>Contribution and other income less pension payments</t>
  </si>
  <si>
    <t>Closing GSF net assets</t>
  </si>
  <si>
    <t>Net GSF liability</t>
  </si>
  <si>
    <t>CHECK: Provisions in Stmt Fncl Posn =Sum of entities</t>
  </si>
  <si>
    <t>Tax receipts</t>
  </si>
  <si>
    <t>Interest, profits and dividends</t>
  </si>
  <si>
    <t>Personnel and operating costs</t>
  </si>
  <si>
    <t>Net core Crown operating cash flows (incl FOS &amp; T-d adj)</t>
  </si>
  <si>
    <t>Net CC capital cash flows (incl NZSF contrb, FCS &amp; T-d adj)</t>
  </si>
  <si>
    <t>Core Crown Residual cash surplus/(deficit)</t>
  </si>
  <si>
    <t>CHECK: Residual cash =CC operat + CC capital cash flows</t>
  </si>
  <si>
    <t>Total borrowing cash flows</t>
  </si>
  <si>
    <t>Net sale/(purchase) of marketable securities and deposits</t>
  </si>
  <si>
    <t>Decrease/(increase) in cash</t>
  </si>
  <si>
    <t>Total investing cash flows (incl issues of circ. currency)</t>
  </si>
  <si>
    <t>Residual cash deficit/(surplus) funding or investing</t>
  </si>
  <si>
    <t>Core Crown equity accounted investments</t>
  </si>
  <si>
    <t>Core Crown inventory and other assets</t>
  </si>
  <si>
    <t>Core Crown borrowings</t>
  </si>
  <si>
    <t>Crown entities borrowings</t>
  </si>
  <si>
    <t>SOE borrowings</t>
  </si>
  <si>
    <t>Core Crown deferred revenue</t>
  </si>
  <si>
    <t>Core Crown insurance liabilities</t>
  </si>
  <si>
    <t>Core Crown retirement plan liabilities</t>
  </si>
  <si>
    <t>CHECK: CC op bal =Calculation from all components</t>
  </si>
  <si>
    <t>Core Crown net worth</t>
  </si>
  <si>
    <t>CHECK: CC net worth =Calculation from all components</t>
  </si>
  <si>
    <t>Total cash disbursed to operations (incl. new operating spending &amp; t-d adjust)</t>
  </si>
  <si>
    <t>Net cash flow from operations</t>
  </si>
  <si>
    <t>Net sale/(purchase) of physical assets</t>
  </si>
  <si>
    <t>Net sale/(purchase) of shares and other securities</t>
  </si>
  <si>
    <t>Net sale/(purchase) of intangible assets</t>
  </si>
  <si>
    <t>Net repayment/(issues) of advances</t>
  </si>
  <si>
    <t>Net cash flow from investing activities (incl. annual new capital spend &amp; t-d adj)</t>
  </si>
  <si>
    <t>Net cash flow from investing (incl ann FNCS &amp; T-d adj)</t>
  </si>
  <si>
    <t>Net issue/(repayment) of borrowings</t>
  </si>
  <si>
    <t>Dividends paid to minority interests</t>
  </si>
  <si>
    <t>Net cash flow from financing activities</t>
  </si>
  <si>
    <t>Reconciliation between net cash flows from operations and operating balance</t>
  </si>
  <si>
    <t>Net cash flow from operations plus Total gains/(losses)</t>
  </si>
  <si>
    <t>Write-down on initial recognition and Impairment of financial assets (excl. receivables)</t>
  </si>
  <si>
    <t>Total other non-cash items (incl Depreciation and amortisation)</t>
  </si>
  <si>
    <t>CHECK: Op. Bal. in Stmt Fncl Perfm = Cash flow Ops+Gains/(loss)+Non-cash items+Mvmts wkg cap</t>
  </si>
  <si>
    <t>Total property, plant and equipment</t>
  </si>
  <si>
    <t>Net additions (additions less disposals plus net revaluations plus other)</t>
  </si>
  <si>
    <t>Sales of goods and services and other receipts</t>
  </si>
  <si>
    <t>Net core Crown operating cash flows (incl. new operating spending &amp; t-d adjust)</t>
  </si>
  <si>
    <t>Net sale/(purchase) of investments</t>
  </si>
  <si>
    <t>Net repayment/(issue) of advances</t>
  </si>
  <si>
    <t>Net core Crown capital cash flows (incl. new capital spending &amp; t-d adjust)</t>
  </si>
  <si>
    <t>Residual cash surplus/(deficit)</t>
  </si>
  <si>
    <t>Total investing cash flows</t>
  </si>
  <si>
    <t>Crown entities other non-finance exps (excl wel, health, ed, t&amp;c)</t>
  </si>
  <si>
    <t>SOE other non-finance exps (excl wel, health, ed, t&amp;c)</t>
  </si>
  <si>
    <t>Crown entity insurance expenses</t>
  </si>
  <si>
    <t>SOE insurance expenses</t>
  </si>
  <si>
    <t>Crown entity education expenses</t>
  </si>
  <si>
    <t>SOE education expenses</t>
  </si>
  <si>
    <t>Health expenses</t>
  </si>
  <si>
    <t>Crown entity health expenses</t>
  </si>
  <si>
    <t>Crown entity exps excl. welfare, health, education, transport &amp; finance costs</t>
  </si>
  <si>
    <t>Int-segm elim other non-finance exps (excl wel, health, ed, t&amp;c)</t>
  </si>
  <si>
    <t>Inter-segm elim exps excl. welfare, health, education, transport &amp; finance costs</t>
  </si>
  <si>
    <t>Other core Crown receivables</t>
  </si>
  <si>
    <t>Core Crown net additions less disposals plus net revaluations plus other</t>
  </si>
  <si>
    <t>Total intangible assets and goodwill</t>
  </si>
  <si>
    <t>Core Crown depreciation</t>
  </si>
  <si>
    <t>Total equity accounted investments</t>
  </si>
  <si>
    <t>Other core Crown cash and cash equivalents</t>
  </si>
  <si>
    <t>Net assets (net of non-compensation liabilities)</t>
  </si>
  <si>
    <t>Gross liability (compensation related)</t>
  </si>
  <si>
    <t>ACC net reserves/(net liability)</t>
  </si>
  <si>
    <t>Other core Crown payables</t>
  </si>
  <si>
    <t>Core Crown payables</t>
  </si>
  <si>
    <t>Total payables</t>
  </si>
  <si>
    <t>STABLE RATIO TO NOMINAL GDP IN PROJECTIONS</t>
  </si>
  <si>
    <t>SMALL ASSET &amp; LIABILITY CLASS TRANSITION TO</t>
  </si>
  <si>
    <t>Total deferred revenue</t>
  </si>
  <si>
    <t>Other non-core Crown insurance liabilities, including inter-segment elimination</t>
  </si>
  <si>
    <t>Total insurance liabilities</t>
  </si>
  <si>
    <t>Accident Compensation Corporation (a Crown entity)</t>
  </si>
  <si>
    <t>Earthquake Commission (a Crown entity)</t>
  </si>
  <si>
    <t>Retirement plan liabilities (dominated by Government Superannuation Fund)</t>
  </si>
  <si>
    <t>Non-core Crown retirement plan liabilities</t>
  </si>
  <si>
    <t>Total retirement plan liabilities</t>
  </si>
  <si>
    <t>Liability</t>
  </si>
  <si>
    <t>Net assets (net of non-retirement payment commitments liabilities)</t>
  </si>
  <si>
    <t>Unfunded GSF liability</t>
  </si>
  <si>
    <t>Core Crown provisions</t>
  </si>
  <si>
    <t>Total provisions</t>
  </si>
  <si>
    <t>Total other assets</t>
  </si>
  <si>
    <t>Total inventory</t>
  </si>
  <si>
    <t>Core Crown inventory (approximated)</t>
  </si>
  <si>
    <t>Core Crown other assets (approximated)</t>
  </si>
  <si>
    <t>Projected Years only</t>
  </si>
  <si>
    <t>Minority interest shares of operating balance before gains/(losses)</t>
  </si>
  <si>
    <r>
      <t xml:space="preserve">CHECK: Operating Balance in Stmt Fncl Perfm = </t>
    </r>
    <r>
      <rPr>
        <b/>
        <sz val="10"/>
        <color indexed="8"/>
        <rFont val="Calibri"/>
        <family val="2"/>
      </rPr>
      <t xml:space="preserve">Δ </t>
    </r>
    <r>
      <rPr>
        <b/>
        <sz val="10"/>
        <color indexed="8"/>
        <rFont val="Arial"/>
        <family val="2"/>
      </rPr>
      <t>Net Worth</t>
    </r>
  </si>
  <si>
    <t>CORE CROWN CASH FLOW STMT (FROM RESIDUAL CASH)</t>
  </si>
  <si>
    <t>Net sale/(purchase) of marketable securities and deposits and shares</t>
  </si>
  <si>
    <t>Net sale/(purchase) of physical assets and intangible assets and goodwill</t>
  </si>
  <si>
    <t>Net movement in core Crown cash &amp; cash equivalents</t>
  </si>
  <si>
    <t>Core Crown net cash flow Ops+Gains/(loss)+Non-cash items+Mvmts wkg cap</t>
  </si>
  <si>
    <t>Core Crown Net Worth</t>
  </si>
  <si>
    <t>Select the number of projected years before the effective Govt bond rate reaches the stable Govt bond rate</t>
  </si>
  <si>
    <t>No. of projected years for Effective Govt. bond rate to stabilise</t>
  </si>
  <si>
    <t>Effective interest rate on core Crown gross debt</t>
  </si>
  <si>
    <t>Effective interest rate on total borrowings</t>
  </si>
  <si>
    <t>Core Crown gains and losses on non-financial instruments</t>
  </si>
  <si>
    <t>New Zealand Superannuation Fund (NZSF) revenue</t>
  </si>
  <si>
    <t>New Zealand Superannuation Fund (NZSF) non-tax expenses</t>
  </si>
  <si>
    <r>
      <t xml:space="preserve">Select key fiscal variable to display, in nominal dollars, from drop-down box </t>
    </r>
    <r>
      <rPr>
        <b/>
        <sz val="10"/>
        <color indexed="8"/>
        <rFont val="Calibri"/>
        <family val="2"/>
      </rPr>
      <t>↓</t>
    </r>
  </si>
  <si>
    <t>Total Crown OBEGAL</t>
  </si>
  <si>
    <r>
      <rPr>
        <b/>
        <i/>
        <sz val="11"/>
        <color indexed="8"/>
        <rFont val="Calibri"/>
        <family val="2"/>
      </rPr>
      <t xml:space="preserve">↓ </t>
    </r>
    <r>
      <rPr>
        <b/>
        <i/>
        <sz val="11"/>
        <color indexed="8"/>
        <rFont val="Calibri"/>
        <family val="2"/>
      </rPr>
      <t>Key fiscal variable selected from drop-down box</t>
    </r>
  </si>
  <si>
    <t>Core Crown Revenue</t>
  </si>
  <si>
    <t>Core Crown revenue (excluding gains)</t>
  </si>
  <si>
    <t>Core Crown expenses (excluding losses)</t>
  </si>
  <si>
    <t>Core Crown operating balance</t>
  </si>
  <si>
    <t>Taxation revenue (total Crown)</t>
  </si>
  <si>
    <t>Total Crown Revenue</t>
  </si>
  <si>
    <t>Total Crown Expenses</t>
  </si>
  <si>
    <t>Core Crown Expenses</t>
  </si>
  <si>
    <t>Core Crown Operating Balance</t>
  </si>
  <si>
    <t>CHECK: CC Op. Bal. in Stmt Fncl Perfm = CC Cash flow Ops+Gains/(loss)+Non-cash items+Mvmts wkg cap</t>
  </si>
  <si>
    <t>Core Crown assets</t>
  </si>
  <si>
    <r>
      <t xml:space="preserve">CHECK: CC Operating Balance in Stmt Fncl Perfm = </t>
    </r>
    <r>
      <rPr>
        <b/>
        <sz val="10"/>
        <color indexed="8"/>
        <rFont val="Calibri"/>
        <family val="2"/>
      </rPr>
      <t xml:space="preserve">Δ CC </t>
    </r>
    <r>
      <rPr>
        <b/>
        <sz val="10"/>
        <color indexed="8"/>
        <rFont val="Arial"/>
        <family val="2"/>
      </rPr>
      <t>Net Worth</t>
    </r>
  </si>
  <si>
    <t>Total Crown Net Worth</t>
  </si>
  <si>
    <t>Total Net Worth attributable to the Crown</t>
  </si>
  <si>
    <t>Core Crown residual cash</t>
  </si>
  <si>
    <t>Total Crown Borrowings</t>
  </si>
  <si>
    <t>Core Crown Borrowings</t>
  </si>
  <si>
    <t>Average Ordinary Time Weekly Earnings (AOTWE) (December qtr, $ per week)</t>
  </si>
  <si>
    <t>NEW ZEALAND SUPERANNUATION FUND (NZSF)</t>
  </si>
  <si>
    <t>Less New Zealand Superannuation Fund (NZSF) borrowings</t>
  </si>
  <si>
    <t>Add back core Crown advances (excl. NZSF advances)</t>
  </si>
  <si>
    <t>Add back NZSF financial assets (excl. receivables)</t>
  </si>
  <si>
    <t>Net core Crown debt (excl. NZSF fincl assets &amp; advances)</t>
  </si>
  <si>
    <t>Core Crown (excluding NZSF) residual cash</t>
  </si>
  <si>
    <t>Add NZSF holdings of sovereign-issued debt and subtract NZSF borrowings</t>
  </si>
  <si>
    <t>Add back core Crown advances (excludes advances held by NZSF)</t>
  </si>
  <si>
    <t>Add back NZSF holdings of core Crown financial assets &amp; NZSF financial assets</t>
  </si>
  <si>
    <t>New Zealand Superannuation (NZS) parameters</t>
  </si>
  <si>
    <t>NZSF cash and cash equivalents</t>
  </si>
  <si>
    <t>NZSF receivables</t>
  </si>
  <si>
    <t>NZSF advances</t>
  </si>
  <si>
    <t>NZSF payables</t>
  </si>
  <si>
    <t>CORE CROWN RESIDUAL CASH (EXCLUDES NZSF)</t>
  </si>
  <si>
    <t>Capital withdrawal/(contribution) to the NZSF</t>
  </si>
  <si>
    <t>Net cash flow from operations (add back NZSF variables, subtract NZSF tax)</t>
  </si>
  <si>
    <t>Net core Crown debt excluding NZSF financial assets and advances</t>
  </si>
  <si>
    <t>Inter-segment elimination of tax revenue</t>
  </si>
  <si>
    <t>CURRENT NEW ZEALAND PERSONAL TAX REGIME</t>
  </si>
  <si>
    <t>Tax Rate</t>
  </si>
  <si>
    <t>Between $0 and</t>
  </si>
  <si>
    <t>ACC Earner levy</t>
  </si>
  <si>
    <t>Tax below threshold</t>
  </si>
  <si>
    <t>Net-to-gross calculations</t>
  </si>
  <si>
    <t>Annual gross taxable income ($):</t>
  </si>
  <si>
    <t>Annual net taxable income ($):</t>
  </si>
  <si>
    <r>
      <t xml:space="preserve">1 </t>
    </r>
    <r>
      <rPr>
        <sz val="10"/>
        <color indexed="8"/>
        <rFont val="Calibri"/>
        <family val="2"/>
      </rPr>
      <t>−</t>
    </r>
    <r>
      <rPr>
        <sz val="9"/>
        <color indexed="8"/>
        <rFont val="Arial"/>
        <family val="2"/>
      </rPr>
      <t xml:space="preserve"> </t>
    </r>
    <r>
      <rPr>
        <sz val="10"/>
        <color indexed="8"/>
        <rFont val="Arial"/>
        <family val="2"/>
      </rPr>
      <t>Tax Rate</t>
    </r>
  </si>
  <si>
    <t>Cumulative threshold</t>
  </si>
  <si>
    <t>x rate difference</t>
  </si>
  <si>
    <t>Other core Crown economic and industrial services expenses</t>
  </si>
  <si>
    <t>SOE expenses excl. education, transport &amp; finance costs</t>
  </si>
  <si>
    <t>Student loans - initial write-down to fair value and impairment</t>
  </si>
  <si>
    <t>FINAL YEAR FOR "OTHER" EXPENSES</t>
  </si>
  <si>
    <t>The expense types in the category "Other" are temporary by nature. Select a projected year up until which they are</t>
  </si>
  <si>
    <t>held at their end-of-forecast value. Beyond this fiscal year they are reduced to zero value in projections.</t>
  </si>
  <si>
    <t>Keep "Other" expenses at end-of-forecast value until this year</t>
  </si>
  <si>
    <t>Other (dominated by Crown entitities other than ACC)</t>
  </si>
  <si>
    <t>Core Crown elimination, impairment and transfers to other assets</t>
  </si>
  <si>
    <t>Elimination, impairment and transfers to other assets</t>
  </si>
  <si>
    <t>CHECK: Residual cash surplus/(deficit) = −(Total investing cash flows + Total borrowing cash flows)</t>
  </si>
  <si>
    <t>CHECK: For projected years only, Residual cash = Negative of {ΔCC Net Debt +ΔCirculating Currency +Non-cash component of CC Interest Revenue less CC Interest Expense +Non-NZSF component of CC financial Gains/[Losses]}</t>
  </si>
  <si>
    <t>Net cash flow from investing (capital cash + MSDDSI cash + add back NZSF cash)</t>
  </si>
  <si>
    <r>
      <t xml:space="preserve">Net issue/(repay) of borrowings (= </t>
    </r>
    <r>
      <rPr>
        <sz val="10"/>
        <color indexed="8"/>
        <rFont val="Calibri"/>
        <family val="2"/>
      </rPr>
      <t>Δ</t>
    </r>
    <r>
      <rPr>
        <sz val="10"/>
        <color indexed="8"/>
        <rFont val="Arial"/>
        <family val="2"/>
      </rPr>
      <t>Cash asset - Cash from ops &amp; inv - Issue circ curr)</t>
    </r>
  </si>
  <si>
    <t>Tax receivable write-down and impairments</t>
  </si>
  <si>
    <t>From Tracks</t>
  </si>
  <si>
    <t xml:space="preserve">TAX RECEIVABLE WRITE-DOWN AND IMPAIRMENTS </t>
  </si>
  <si>
    <t>Historical and forecast data from previous forecast round's core Crown expense tables</t>
  </si>
  <si>
    <t>No</t>
  </si>
  <si>
    <t>Fiscal forecast adjuster</t>
  </si>
  <si>
    <t>Forecast years (1 July to following 30 June)</t>
  </si>
  <si>
    <t>Tax revenue</t>
  </si>
  <si>
    <t>Adjust fiscal forecasts</t>
  </si>
  <si>
    <t>GST</t>
  </si>
  <si>
    <t>Other taxes</t>
  </si>
  <si>
    <t>New Zealand Superannuation</t>
  </si>
  <si>
    <t>Note: For forecast new operating spending a change in any year would normally</t>
  </si>
  <si>
    <t>be at least matched in future years i.e. It is a cumulative expenditure stream</t>
  </si>
  <si>
    <t>Effective interest rate on core Crown debt</t>
  </si>
  <si>
    <t>Enter additions/subtractions in units of $ million in each year. If a revenue or expense type is to remain unchanged in any forecast year, enter a zero in that year.</t>
  </si>
  <si>
    <t>Calculated impacts</t>
  </si>
  <si>
    <t>From non-fc impact on debt</t>
  </si>
  <si>
    <t>Δ finance costs (fc)</t>
  </si>
  <si>
    <t>From fc impact on debt</t>
  </si>
  <si>
    <t>From earlier year debt impacts</t>
  </si>
  <si>
    <t>Total change to debt finance costs</t>
  </si>
  <si>
    <t>Annual Δ gross debt</t>
  </si>
  <si>
    <t>Excludes fc impact</t>
  </si>
  <si>
    <t>Includes fc impact</t>
  </si>
  <si>
    <t>Total change to gross debt</t>
  </si>
  <si>
    <t>CHECK: Net core Crown debt from Fiscal Forecasts = Calculated value</t>
  </si>
  <si>
    <t>CHECK: Net worth from Fiscal Forecasts = Calculated value</t>
  </si>
  <si>
    <t>CHECK: Core Crown Net worth from Fiscal Forecasts = Calculated value</t>
  </si>
  <si>
    <t>Core Crown non-debt liabilities</t>
  </si>
  <si>
    <t>Historic &amp; forecast yrs</t>
  </si>
  <si>
    <t>Alternative New Zealand Superannuation Fund tracks produced by Treasury model</t>
  </si>
  <si>
    <t>TRACK 1</t>
  </si>
  <si>
    <t>TRACK 2</t>
  </si>
  <si>
    <t>Select track number to apply →</t>
  </si>
  <si>
    <t>Adjust NZSF track</t>
  </si>
  <si>
    <t>Non-tax expenses</t>
  </si>
  <si>
    <t>Latest forecast distribution of revenue, non-tax expenses and gains/(losses)</t>
  </si>
  <si>
    <t>Rev-Exp+Gains</t>
  </si>
  <si>
    <t xml:space="preserve">CHECK: Total Crown expenses sum: Functional classes = Operational classes </t>
  </si>
  <si>
    <t xml:space="preserve">CHECK: Core Crown expenses sum: Functional classes = Operational classes </t>
  </si>
  <si>
    <t>Operating balance (excluding minority interests)</t>
  </si>
  <si>
    <t>Minority interest shares of net gains/(losses)</t>
  </si>
  <si>
    <t>Operating balance (including minority interests)</t>
  </si>
  <si>
    <t>Total Crown Operating Balance (excluding minority interest)</t>
  </si>
  <si>
    <t>Total Crown Operating Balance (including minority interest)</t>
  </si>
  <si>
    <t>Forecasts provided to Treasury by MinEd</t>
  </si>
  <si>
    <t>(MinEd) track</t>
  </si>
  <si>
    <t>Projection produced by MinEd</t>
  </si>
  <si>
    <t>OPTION</t>
  </si>
  <si>
    <t>Option</t>
  </si>
  <si>
    <r>
      <t xml:space="preserve">Net gains/(losses) </t>
    </r>
    <r>
      <rPr>
        <sz val="10"/>
        <rFont val="Arial"/>
        <family val="2"/>
      </rPr>
      <t>on financial &amp; non-financial instruments</t>
    </r>
  </si>
  <si>
    <r>
      <t xml:space="preserve">CHECK: CC Operating Balance in Stmt Fncl Perfm = </t>
    </r>
    <r>
      <rPr>
        <b/>
        <i/>
        <sz val="10"/>
        <color indexed="8"/>
        <rFont val="Calibri"/>
        <family val="2"/>
      </rPr>
      <t xml:space="preserve">Δ CC </t>
    </r>
    <r>
      <rPr>
        <b/>
        <i/>
        <sz val="10"/>
        <color indexed="8"/>
        <rFont val="Arial"/>
        <family val="2"/>
      </rPr>
      <t>Net Worth</t>
    </r>
  </si>
  <si>
    <r>
      <t xml:space="preserve">CHECK: Operating Balance in Stmt Fncl Perfm = </t>
    </r>
    <r>
      <rPr>
        <b/>
        <i/>
        <sz val="10"/>
        <color indexed="8"/>
        <rFont val="Calibri"/>
        <family val="2"/>
      </rPr>
      <t xml:space="preserve">Δ </t>
    </r>
    <r>
      <rPr>
        <b/>
        <i/>
        <sz val="10"/>
        <color indexed="8"/>
        <rFont val="Arial"/>
        <family val="2"/>
      </rPr>
      <t>Net Worth</t>
    </r>
  </si>
  <si>
    <t>Core Crown net worth (= Core Crown assets - Core Crown liabilities)</t>
  </si>
  <si>
    <t>Annual forecast new capital spending for year</t>
  </si>
  <si>
    <t>Forecast new capital spending for first forecast year</t>
  </si>
  <si>
    <t>Forecast new capital spending for second forecast year</t>
  </si>
  <si>
    <t>Forecast new capital spending for third forecast year</t>
  </si>
  <si>
    <t>Forecast new capital spending for fourth forecast year</t>
  </si>
  <si>
    <t>Forecast new capital spending for fifth forecast year</t>
  </si>
  <si>
    <t>Total forecast new capital spending for forecast year</t>
  </si>
  <si>
    <t>Mainly Statistics New Zealand (NZ) measures</t>
  </si>
  <si>
    <t>Historic data from Statistics NZ</t>
  </si>
  <si>
    <t>Projections from Statistics NZ</t>
  </si>
  <si>
    <t>Historic data from Statistics NZ, based on Household Labour Force Survey (HLFS)</t>
  </si>
  <si>
    <t xml:space="preserve">Projections from Statistics NZ </t>
  </si>
  <si>
    <t>Census 2013 basis, produced in 2014</t>
  </si>
  <si>
    <t>Name of worksheet</t>
  </si>
  <si>
    <t>Purpose</t>
  </si>
  <si>
    <t>Provides inputs to these worksheets</t>
  </si>
  <si>
    <t>Uses outputs from these worksheets</t>
  </si>
  <si>
    <t>Display</t>
  </si>
  <si>
    <t>This is a hidden worksheet. It provides</t>
  </si>
  <si>
    <t>Each of the main modelling worksheets.</t>
  </si>
  <si>
    <t>None.</t>
  </si>
  <si>
    <t>offsets to allow the chosen fiscal variable</t>
  </si>
  <si>
    <t>These are the latest forecast round main</t>
  </si>
  <si>
    <t>track to be displayed at the top of each</t>
  </si>
  <si>
    <t>FSM scenario (labelled with the forecast</t>
  </si>
  <si>
    <t>of the main modelling worksheets.</t>
  </si>
  <si>
    <r>
      <t xml:space="preserve">name) and </t>
    </r>
    <r>
      <rPr>
        <i/>
        <sz val="10"/>
        <color indexed="8"/>
        <rFont val="Arial"/>
        <family val="2"/>
      </rPr>
      <t>Option</t>
    </r>
    <r>
      <rPr>
        <sz val="10"/>
        <color indexed="8"/>
        <rFont val="Arial"/>
        <family val="2"/>
      </rPr>
      <t xml:space="preserve"> worksheets, although</t>
    </r>
  </si>
  <si>
    <t>others can be copied from these and run</t>
  </si>
  <si>
    <t>off a different set of parameters from the</t>
  </si>
  <si>
    <r>
      <rPr>
        <i/>
        <sz val="10"/>
        <color indexed="8"/>
        <rFont val="Arial"/>
        <family val="2"/>
      </rPr>
      <t xml:space="preserve">Choices </t>
    </r>
    <r>
      <rPr>
        <sz val="10"/>
        <color indexed="8"/>
        <rFont val="Arial"/>
        <family val="2"/>
      </rPr>
      <t>worksheet.</t>
    </r>
  </si>
  <si>
    <t>Guide to Model</t>
  </si>
  <si>
    <t>That is this worksheet. It provides some</t>
  </si>
  <si>
    <t>None. Purely for information purposes</t>
  </si>
  <si>
    <t>information to help users know how the</t>
  </si>
  <si>
    <t>and to help users of the model.</t>
  </si>
  <si>
    <t>various worksheets in the model interact.</t>
  </si>
  <si>
    <t>Input Sources</t>
  </si>
  <si>
    <t>This is also an information worksheet. It</t>
  </si>
  <si>
    <t>provides lists of data and input tracks</t>
  </si>
  <si>
    <t>used in the model, as well as what base</t>
  </si>
  <si>
    <t>they use and from where they are sourced.</t>
  </si>
  <si>
    <t>Popn</t>
  </si>
  <si>
    <t xml:space="preserve">These are the NZ resident population </t>
  </si>
  <si>
    <t>Used in numerous places in the main</t>
  </si>
  <si>
    <t>projections, produced by Statistics NZ, by</t>
  </si>
  <si>
    <t>modelling worksheets, wherever</t>
  </si>
  <si>
    <t>gender and single year of age. They are</t>
  </si>
  <si>
    <t>demographic drivers are required. Used</t>
  </si>
  <si>
    <t>updated whenever a new version becomes</t>
  </si>
  <si>
    <t>in projecting some economic variables, but</t>
  </si>
  <si>
    <t>available. At the bottom of the worksheet</t>
  </si>
  <si>
    <t>mainly as driver of recipient numbers in</t>
  </si>
  <si>
    <t>are calculated annual growth rates for</t>
  </si>
  <si>
    <t>various expense types, especially welfare.</t>
  </si>
  <si>
    <t>various age and gender groups that are</t>
  </si>
  <si>
    <t>used in the main modelling worksheets.</t>
  </si>
  <si>
    <r>
      <t xml:space="preserve">population projections in the </t>
    </r>
    <r>
      <rPr>
        <i/>
        <sz val="10"/>
        <color indexed="8"/>
        <rFont val="Arial"/>
        <family val="2"/>
      </rPr>
      <t xml:space="preserve">LF </t>
    </r>
    <r>
      <rPr>
        <sz val="10"/>
        <color indexed="8"/>
        <rFont val="Arial"/>
        <family val="2"/>
      </rPr>
      <t>worksheet.</t>
    </r>
  </si>
  <si>
    <t>LF</t>
  </si>
  <si>
    <r>
      <rPr>
        <i/>
        <sz val="10"/>
        <color indexed="8"/>
        <rFont val="Arial"/>
        <family val="2"/>
      </rPr>
      <t xml:space="preserve">LF </t>
    </r>
    <r>
      <rPr>
        <sz val="10"/>
        <color indexed="8"/>
        <rFont val="Arial"/>
        <family val="2"/>
      </rPr>
      <t>stands for Labour Force. These are the</t>
    </r>
  </si>
  <si>
    <t xml:space="preserve">The projected aggregate working-age </t>
  </si>
  <si>
    <t>Makes use of population projections from</t>
  </si>
  <si>
    <t>LF projections, produced by Statistics NZ,</t>
  </si>
  <si>
    <t>population (WAP) and LF tracks are used</t>
  </si>
  <si>
    <t>by gender and single year of age. They are</t>
  </si>
  <si>
    <t>also updated whenever a new version is</t>
  </si>
  <si>
    <t>available. Their main use is to project the</t>
  </si>
  <si>
    <t>Household Labour Force Survey (HLFS)</t>
  </si>
  <si>
    <t>aggregate LF from its forecast base. This</t>
  </si>
  <si>
    <t>key economic variable is a driver of GDP.</t>
  </si>
  <si>
    <t>Tracks</t>
  </si>
  <si>
    <t>This worksheet contains a number of</t>
  </si>
  <si>
    <t>Used in many places throughout the main</t>
  </si>
  <si>
    <t xml:space="preserve">projected tracks and demographic </t>
  </si>
  <si>
    <t>modelling worksheets, often in regard to</t>
  </si>
  <si>
    <t>distributions. Some of these are produced</t>
  </si>
  <si>
    <t>a particular asset, liability or expense type.</t>
  </si>
  <si>
    <t>by Treasury, while others are sourced from</t>
  </si>
  <si>
    <t>The demographic distributions are used as</t>
  </si>
  <si>
    <t>outside agencies. They all share the</t>
  </si>
  <si>
    <t>inputs to the projected growth of recipient</t>
  </si>
  <si>
    <t>characteristic of being produced outside</t>
  </si>
  <si>
    <t>numbers in various welfare and education</t>
  </si>
  <si>
    <t>the model itself i.e. are exogenous inputs.</t>
  </si>
  <si>
    <t>expense categories.</t>
  </si>
  <si>
    <t>Economic Forecasts</t>
  </si>
  <si>
    <t xml:space="preserve">The name is self-explanatory. The latest </t>
  </si>
  <si>
    <t>Used as the base of economic projections</t>
  </si>
  <si>
    <t xml:space="preserve">set of forecast economic variables, as well </t>
  </si>
  <si>
    <t>in the main modelling worksheets.</t>
  </si>
  <si>
    <t>as historical outturns of these variables,</t>
  </si>
  <si>
    <t>Also used as the base of various inputs</t>
  </si>
  <si>
    <t>are stored in this worksheet.</t>
  </si>
  <si>
    <t xml:space="preserve">This worksheet also contains some </t>
  </si>
  <si>
    <t>parameters, derived from the economic</t>
  </si>
  <si>
    <t>forecasts by another Treasury model, that</t>
  </si>
  <si>
    <t>are used in projecting NZ Superannuation.</t>
  </si>
  <si>
    <t>Finally it also contains parameters related</t>
  </si>
  <si>
    <t>to the NZ personal tax regime that are</t>
  </si>
  <si>
    <t>also used in projecting NZ Superannuation.</t>
  </si>
  <si>
    <t>Fiscal Forecasts</t>
  </si>
  <si>
    <t>The fiscal equivalent of the previous</t>
  </si>
  <si>
    <t>Used as the base of projections of asset,</t>
  </si>
  <si>
    <t>worksheet, this contains the most recent</t>
  </si>
  <si>
    <t>liability, revenue and expense categories</t>
  </si>
  <si>
    <t>set of forecast fiscal variables, as well as</t>
  </si>
  <si>
    <t>in the main modelling worksheets. Covers</t>
  </si>
  <si>
    <t>historical outturns of these variables.</t>
  </si>
  <si>
    <t>core Crown and total Crown variables, and</t>
  </si>
  <si>
    <t>Because there is so much input data in this</t>
  </si>
  <si>
    <t>in some cases extends to Crown entity and</t>
  </si>
  <si>
    <t>worksheet, it uses a number of checking</t>
  </si>
  <si>
    <t>State-owned enterprise (SOE) variables.</t>
  </si>
  <si>
    <t>calculations to ensure various sections</t>
  </si>
  <si>
    <t>tally with each other.</t>
  </si>
  <si>
    <t>NZS Fund Adjuster</t>
  </si>
  <si>
    <t>This worksheet contains alternative</t>
  </si>
  <si>
    <r>
      <t xml:space="preserve">The </t>
    </r>
    <r>
      <rPr>
        <i/>
        <sz val="10"/>
        <color indexed="8"/>
        <rFont val="Arial"/>
        <family val="2"/>
      </rPr>
      <t>Option</t>
    </r>
    <r>
      <rPr>
        <sz val="10"/>
        <color indexed="8"/>
        <rFont val="Arial"/>
        <family val="2"/>
      </rPr>
      <t xml:space="preserve"> worksheet. At its top is a line</t>
    </r>
  </si>
  <si>
    <t>projections of the NZ Superannuation Fund.</t>
  </si>
  <si>
    <r>
      <t xml:space="preserve">labelled </t>
    </r>
    <r>
      <rPr>
        <i/>
        <sz val="10"/>
        <color indexed="8"/>
        <rFont val="Arial"/>
        <family val="2"/>
      </rPr>
      <t>Adjust NZSF track</t>
    </r>
    <r>
      <rPr>
        <sz val="10"/>
        <color indexed="8"/>
        <rFont val="Arial"/>
        <family val="2"/>
      </rPr>
      <t xml:space="preserve">. If the word </t>
    </r>
  </si>
  <si>
    <t>These can be produced by altering inputs</t>
  </si>
  <si>
    <t>Yes is entered in cell D3 beside this label</t>
  </si>
  <si>
    <t xml:space="preserve">or parameter choices in the </t>
  </si>
  <si>
    <t>it activates the modelling in this worksheet</t>
  </si>
  <si>
    <t>New Zealand Superannuation Fund model</t>
  </si>
  <si>
    <r>
      <t xml:space="preserve">to replace the NZSF track in </t>
    </r>
    <r>
      <rPr>
        <i/>
        <sz val="10"/>
        <color indexed="8"/>
        <rFont val="Arial"/>
        <family val="2"/>
      </rPr>
      <t xml:space="preserve">Tracks </t>
    </r>
    <r>
      <rPr>
        <sz val="10"/>
        <color indexed="8"/>
        <rFont val="Arial"/>
        <family val="2"/>
      </rPr>
      <t>with</t>
    </r>
  </si>
  <si>
    <t>on the Treasury website. From that model</t>
  </si>
  <si>
    <r>
      <t xml:space="preserve">the alternative one in </t>
    </r>
    <r>
      <rPr>
        <i/>
        <sz val="10"/>
        <color indexed="8"/>
        <rFont val="Arial"/>
        <family val="2"/>
      </rPr>
      <t>NZS Fund Adjuster</t>
    </r>
    <r>
      <rPr>
        <sz val="10"/>
        <color indexed="8"/>
        <rFont val="Arial"/>
        <family val="2"/>
      </rPr>
      <t>.</t>
    </r>
    <r>
      <rPr>
        <i/>
        <sz val="10"/>
        <color indexed="8"/>
        <rFont val="Arial"/>
        <family val="2"/>
      </rPr>
      <t xml:space="preserve"> </t>
    </r>
  </si>
  <si>
    <t>an alternative NZSF track can then be</t>
  </si>
  <si>
    <t>It also adjust any variables in the forecast</t>
  </si>
  <si>
    <t>pasted into this worksheet.</t>
  </si>
  <si>
    <t>base that would be affected by changes to</t>
  </si>
  <si>
    <t>the NZSF to reflect these impacts.</t>
  </si>
  <si>
    <t>Fiscal Forecast Adjuster</t>
  </si>
  <si>
    <t>This worksheet allows changes to be made</t>
  </si>
  <si>
    <t>Makes use of forecast core Crown gross</t>
  </si>
  <si>
    <t>to forecast year values of major tax types,</t>
  </si>
  <si>
    <r>
      <t xml:space="preserve">labelled </t>
    </r>
    <r>
      <rPr>
        <i/>
        <sz val="10"/>
        <color indexed="8"/>
        <rFont val="Arial"/>
        <family val="2"/>
      </rPr>
      <t>Adjust fiscal forecasts</t>
    </r>
    <r>
      <rPr>
        <sz val="10"/>
        <color indexed="8"/>
        <rFont val="Arial"/>
        <family val="2"/>
      </rPr>
      <t>. If the word</t>
    </r>
  </si>
  <si>
    <t>debt and debt financing costs from the</t>
  </si>
  <si>
    <t xml:space="preserve">several welfare expense classes, and </t>
  </si>
  <si>
    <t>Yes is entered in cell D2 beside this label</t>
  </si>
  <si>
    <r>
      <t xml:space="preserve">Fiscal Forecasts </t>
    </r>
    <r>
      <rPr>
        <sz val="10"/>
        <color indexed="8"/>
        <rFont val="Arial"/>
        <family val="2"/>
      </rPr>
      <t>worksheet to calculate</t>
    </r>
  </si>
  <si>
    <t>allowances for new operating spending and</t>
  </si>
  <si>
    <t>the effective interest rate on debt to apply</t>
  </si>
  <si>
    <t>for new capital spending. It calculates how</t>
  </si>
  <si>
    <t>to add these adjustments to forecast</t>
  </si>
  <si>
    <t xml:space="preserve">to the calculated debt changes in order to </t>
  </si>
  <si>
    <t>these changes impact on gross debt and</t>
  </si>
  <si>
    <t>values in the appropriate places. It also</t>
  </si>
  <si>
    <t>calculate the debt financing costs changes.</t>
  </si>
  <si>
    <t>debt financing costs in those years.</t>
  </si>
  <si>
    <t>adjusts forecast debt and debt financing</t>
  </si>
  <si>
    <r>
      <t xml:space="preserve">This spreadsheet is the </t>
    </r>
    <r>
      <rPr>
        <b/>
        <sz val="10"/>
        <color indexed="8"/>
        <rFont val="Arial"/>
        <family val="2"/>
      </rPr>
      <t>means of</t>
    </r>
  </si>
  <si>
    <t>costs by the amounts calculated in the</t>
  </si>
  <si>
    <t>correctly altering the fiscal forecast</t>
  </si>
  <si>
    <r>
      <t xml:space="preserve">Fiscal Forecast Adjuster </t>
    </r>
    <r>
      <rPr>
        <sz val="10"/>
        <color indexed="8"/>
        <rFont val="Arial"/>
        <family val="2"/>
      </rPr>
      <t>to reflect the</t>
    </r>
  </si>
  <si>
    <r>
      <t xml:space="preserve">base </t>
    </r>
    <r>
      <rPr>
        <sz val="10"/>
        <color indexed="8"/>
        <rFont val="Arial"/>
        <family val="2"/>
      </rPr>
      <t>for the forecast years.</t>
    </r>
  </si>
  <si>
    <t>combined impact of all changes on them.</t>
  </si>
  <si>
    <t>Choices</t>
  </si>
  <si>
    <t xml:space="preserve">All of the assumptions and parameters </t>
  </si>
  <si>
    <t>Any modelling worksheet that is set up.</t>
  </si>
  <si>
    <t>needed to run a scenario are entered by</t>
  </si>
  <si>
    <t>Again, the easiest way to produce a whole</t>
  </si>
  <si>
    <t>the model user in this worksheet. Most</t>
  </si>
  <si>
    <t>new modelled scenario is to copy one of</t>
  </si>
  <si>
    <t>selections relate to projection assumptions</t>
  </si>
  <si>
    <t>the main modelling worksheets by right</t>
  </si>
  <si>
    <t>or parameters, but there are some that</t>
  </si>
  <si>
    <t>clicking the worksheet tab, ensuring that</t>
  </si>
  <si>
    <t>impact on the forecast base. Such cases</t>
  </si>
  <si>
    <r>
      <t xml:space="preserve">you tick the </t>
    </r>
    <r>
      <rPr>
        <i/>
        <sz val="10"/>
        <color indexed="8"/>
        <rFont val="Arial"/>
        <family val="2"/>
      </rPr>
      <t xml:space="preserve">Create a Copy </t>
    </r>
    <r>
      <rPr>
        <sz val="10"/>
        <color indexed="8"/>
        <rFont val="Arial"/>
        <family val="2"/>
      </rPr>
      <t>box (otherwise</t>
    </r>
  </si>
  <si>
    <t>are clearly labelled. There are standard</t>
  </si>
  <si>
    <t>you will just move the worksheet) and</t>
  </si>
  <si>
    <t>sets of assumptions and parameters used</t>
  </si>
  <si>
    <t>change the name of the worksheet tab.</t>
  </si>
  <si>
    <t>in the main modelling worksheet scenarios.</t>
  </si>
  <si>
    <t>In cell B1 at the top of your modelling</t>
  </si>
  <si>
    <t>As most options will not be altered in</t>
  </si>
  <si>
    <t>worksheet, enter the name you have used</t>
  </si>
  <si>
    <t>setting up a scenario, the easiest way to</t>
  </si>
  <si>
    <t>at the top of the column you set up with</t>
  </si>
  <si>
    <t>produce a new scenario is to copy one of</t>
  </si>
  <si>
    <t>your set of assumptions and parameters</t>
  </si>
  <si>
    <t>these columns and paste it into a new</t>
  </si>
  <si>
    <r>
      <t xml:space="preserve">in the </t>
    </r>
    <r>
      <rPr>
        <i/>
        <sz val="10"/>
        <color indexed="8"/>
        <rFont val="Arial"/>
        <family val="2"/>
      </rPr>
      <t>Choices</t>
    </r>
    <r>
      <rPr>
        <sz val="10"/>
        <color indexed="8"/>
        <rFont val="Arial"/>
        <family val="2"/>
      </rPr>
      <t xml:space="preserve"> worksheet. In numerous</t>
    </r>
  </si>
  <si>
    <t>column in this worksheet, changing its</t>
  </si>
  <si>
    <t>places in your modelling worksheet your</t>
  </si>
  <si>
    <t>name at the top of the column in the row</t>
  </si>
  <si>
    <t>assumptions and parameters will be used</t>
  </si>
  <si>
    <r>
      <rPr>
        <sz val="10"/>
        <color indexed="8"/>
        <rFont val="Arial"/>
        <family val="2"/>
      </rPr>
      <t xml:space="preserve">labelled </t>
    </r>
    <r>
      <rPr>
        <i/>
        <sz val="10"/>
        <color indexed="8"/>
        <rFont val="Arial"/>
        <family val="2"/>
      </rPr>
      <t>SCENARIO NAME</t>
    </r>
    <r>
      <rPr>
        <sz val="10"/>
        <color indexed="8"/>
        <rFont val="Arial"/>
        <family val="2"/>
      </rPr>
      <t>.</t>
    </r>
  </si>
  <si>
    <t>to produce your desired scenario.</t>
  </si>
  <si>
    <t>The main modelling</t>
  </si>
  <si>
    <t>These worksheets provide the fundamental</t>
  </si>
  <si>
    <t>worksheets</t>
  </si>
  <si>
    <t>outputs of the FSM, such as projections</t>
  </si>
  <si>
    <t>(the standards are</t>
  </si>
  <si>
    <t>of net core Crown debt as a percentage of</t>
  </si>
  <si>
    <t>the one labelled with</t>
  </si>
  <si>
    <t>nominal GDP for a given scenario.</t>
  </si>
  <si>
    <t>the latest forecast</t>
  </si>
  <si>
    <t>round name and the</t>
  </si>
  <si>
    <r>
      <rPr>
        <i/>
        <sz val="10"/>
        <color indexed="8"/>
        <rFont val="Arial"/>
        <family val="2"/>
      </rPr>
      <t>Option</t>
    </r>
    <r>
      <rPr>
        <sz val="10"/>
        <color indexed="8"/>
        <rFont val="Arial"/>
        <family val="2"/>
      </rPr>
      <t xml:space="preserve"> worksheet).</t>
    </r>
  </si>
  <si>
    <r>
      <rPr>
        <i/>
        <sz val="10"/>
        <color indexed="8"/>
        <rFont val="Arial"/>
        <family val="2"/>
      </rPr>
      <t xml:space="preserve">NZS Fund Adjuster </t>
    </r>
    <r>
      <rPr>
        <sz val="10"/>
        <color indexed="8"/>
        <rFont val="Arial"/>
        <family val="2"/>
      </rPr>
      <t>(potentially)</t>
    </r>
  </si>
  <si>
    <t>As explained in the</t>
  </si>
  <si>
    <r>
      <rPr>
        <i/>
        <sz val="10"/>
        <color indexed="8"/>
        <rFont val="Arial"/>
        <family val="2"/>
      </rPr>
      <t xml:space="preserve">Fiscal Forecast Adjuster </t>
    </r>
    <r>
      <rPr>
        <sz val="10"/>
        <color indexed="8"/>
        <rFont val="Arial"/>
        <family val="2"/>
      </rPr>
      <t>(potentially)</t>
    </r>
  </si>
  <si>
    <r>
      <rPr>
        <i/>
        <sz val="10"/>
        <color indexed="8"/>
        <rFont val="Arial"/>
        <family val="2"/>
      </rPr>
      <t xml:space="preserve">Choices </t>
    </r>
    <r>
      <rPr>
        <sz val="10"/>
        <color indexed="8"/>
        <rFont val="Arial"/>
        <family val="2"/>
      </rPr>
      <t>description</t>
    </r>
  </si>
  <si>
    <t>a user can create</t>
  </si>
  <si>
    <t>their own modelling</t>
  </si>
  <si>
    <t>worksheet.</t>
  </si>
  <si>
    <t>Explanation of the worksheets in the Fiscal Strategy Model and how they link to one another</t>
  </si>
  <si>
    <t>Government</t>
  </si>
  <si>
    <t>Fund (GSF)</t>
  </si>
  <si>
    <t>Forecasts by Treasury based on actuarial valuations</t>
  </si>
  <si>
    <t>Projection produced by actuaries for GSF</t>
  </si>
  <si>
    <t>2012 version</t>
  </si>
  <si>
    <t>Forecasts by IRD</t>
  </si>
  <si>
    <t>downs &amp; impairments</t>
  </si>
  <si>
    <t>Tax Receivable write-</t>
  </si>
  <si>
    <t>Main benefit age &amp;</t>
  </si>
  <si>
    <t>gender distribution</t>
  </si>
  <si>
    <t>Based on recent administrative data and</t>
  </si>
  <si>
    <t>provided by MSD</t>
  </si>
  <si>
    <t>Tertiary student age</t>
  </si>
  <si>
    <t>&amp; gender distribution</t>
  </si>
  <si>
    <t>Based on averages of historical date from</t>
  </si>
  <si>
    <t>Education Counts</t>
  </si>
  <si>
    <t>website</t>
  </si>
  <si>
    <t xml:space="preserve">Historical data from 2005/06 to 2012/13 sourced from Statistics New Zealand </t>
  </si>
  <si>
    <t>90&amp;above to 2012/13</t>
  </si>
  <si>
    <t>95 &amp; above</t>
  </si>
  <si>
    <t>Population projections from 2013/14 onwards sourced from Statistics New Zealand</t>
  </si>
  <si>
    <t>Population projections - Projected population of New Zealand by age and sex, 2014(base)-2068 (produced in November 2014)</t>
  </si>
  <si>
    <t>61/62</t>
  </si>
  <si>
    <t>62/63</t>
  </si>
  <si>
    <t>63/64</t>
  </si>
  <si>
    <t>66/67</t>
  </si>
  <si>
    <t>67/68</t>
  </si>
  <si>
    <t>65/66</t>
  </si>
  <si>
    <t>64/65</t>
  </si>
  <si>
    <t>Projected labour force by age and sex, 2006(base)-2068 (March 2014 update, hybrid of 2006 (base) labour force participation rates multiplied by 2014 (base) population groups)</t>
  </si>
  <si>
    <t>Between 2005/06 and 2012/13 2006(base) projections updated in August 2012</t>
  </si>
  <si>
    <t>Real GDP (production measure), base = 2009/10</t>
  </si>
  <si>
    <t>Used for driving the HLFS working-age</t>
  </si>
  <si>
    <t>from its forecast base.</t>
  </si>
  <si>
    <r>
      <t xml:space="preserve">the </t>
    </r>
    <r>
      <rPr>
        <i/>
        <sz val="10"/>
        <color indexed="8"/>
        <rFont val="Arial"/>
        <family val="2"/>
      </rPr>
      <t>Popn</t>
    </r>
    <r>
      <rPr>
        <sz val="10"/>
        <color indexed="8"/>
        <rFont val="Arial"/>
        <family val="2"/>
      </rPr>
      <t xml:space="preserve"> worksheet to project the WAP</t>
    </r>
  </si>
  <si>
    <t>to grow these key economic variables</t>
  </si>
  <si>
    <t>Some expense types, particular in the</t>
  </si>
  <si>
    <t>uses LF as a driver of recipient numbers.</t>
  </si>
  <si>
    <t>welfare categories, use WAP and one</t>
  </si>
  <si>
    <t>into the projection of NZ Superannuation</t>
  </si>
  <si>
    <t>in these main modelling worksheets.</t>
  </si>
  <si>
    <t>Census 2006 basis labour force participation rates, updated in 2012, combined</t>
  </si>
  <si>
    <t>with the 2014 population projections to produce projected labour force numbers</t>
  </si>
  <si>
    <t>This spreadsheet also contains recent distributions, by age and gender, of the main working-age benefit categories and tertiary education students. These are used in projecting these benefit expenses and Student Allowances expenses.</t>
  </si>
  <si>
    <t>Check components sum to closing book value</t>
  </si>
  <si>
    <t>Economic historical data and forecast base</t>
  </si>
  <si>
    <t>Labour Force (LF) (total for population, millions)</t>
  </si>
  <si>
    <r>
      <t xml:space="preserve">Average Weekly Hours Worked (total hrs work </t>
    </r>
    <r>
      <rPr>
        <b/>
        <sz val="10"/>
        <rFont val="Calibri"/>
        <family val="2"/>
      </rPr>
      <t>÷</t>
    </r>
    <r>
      <rPr>
        <b/>
        <sz val="10"/>
        <rFont val="Arial"/>
        <family val="2"/>
      </rPr>
      <t xml:space="preserve"> emp LF)</t>
    </r>
  </si>
  <si>
    <t>Annual growth rate to apply in extended real GDP "forecasts"</t>
  </si>
  <si>
    <t>The NZSF projection tracks in this spreadsheet are produced by the Treasury NZSF model.</t>
  </si>
  <si>
    <t>TRACK 3</t>
  </si>
  <si>
    <t>If the selected track number does not</t>
  </si>
  <si>
    <t>match one of the alternative NZS Fund</t>
  </si>
  <si>
    <t>tracks in this worksheet, the selection</t>
  </si>
  <si>
    <r>
      <t xml:space="preserve">Fund track in the </t>
    </r>
    <r>
      <rPr>
        <i/>
        <sz val="10"/>
        <color indexed="8"/>
        <rFont val="Arial"/>
        <family val="2"/>
      </rPr>
      <t>Tracks</t>
    </r>
    <r>
      <rPr>
        <sz val="10"/>
        <color indexed="8"/>
        <rFont val="Arial"/>
        <family val="2"/>
      </rPr>
      <t xml:space="preserve"> worksheet.</t>
    </r>
  </si>
  <si>
    <t>defaults to the parameters of the NZS</t>
  </si>
  <si>
    <t>From current year impacts</t>
  </si>
  <si>
    <t>More generally, it does use outputs from</t>
  </si>
  <si>
    <t>another model on the Treasury website.</t>
  </si>
  <si>
    <t xml:space="preserve">the effective interest rate on debt applied. </t>
  </si>
  <si>
    <t>FISCAL STRATEGY MODEL (FSM) - 2015 HALF YEAR ECONOMIC &amp; FISCAL UPDATE (HYEFU) VERSION</t>
  </si>
  <si>
    <t>2015 Half Year Economic and Fiscal Update (HYEFU) data and forecasts</t>
  </si>
  <si>
    <t>2015 HYEFU version</t>
  </si>
  <si>
    <t>Asset/liability track, 2015 update</t>
  </si>
  <si>
    <t>2015 HYEFU version of projected Student Loans track</t>
  </si>
  <si>
    <t>HYEFU15</t>
  </si>
  <si>
    <t>CHECK: Payables in Stmt Fncl Posn =Sum of components</t>
  </si>
  <si>
    <t>Accounts payable</t>
  </si>
  <si>
    <t>Taxes repayable</t>
  </si>
  <si>
    <t>inverse of nominal GDP (used in some projection formulae)</t>
  </si>
  <si>
    <r>
      <rPr>
        <sz val="10"/>
        <color indexed="8"/>
        <rFont val="Calibri"/>
        <family val="2"/>
      </rPr>
      <t>←</t>
    </r>
    <r>
      <rPr>
        <sz val="9"/>
        <color indexed="8"/>
        <rFont val="Arial"/>
        <family val="2"/>
      </rPr>
      <t xml:space="preserve"> </t>
    </r>
    <r>
      <rPr>
        <sz val="10"/>
        <color indexed="8"/>
        <rFont val="Arial"/>
        <family val="2"/>
      </rPr>
      <t xml:space="preserve">Number in C1 calculated to match column oif assumptions in </t>
    </r>
    <r>
      <rPr>
        <i/>
        <sz val="10"/>
        <color indexed="8"/>
        <rFont val="Arial"/>
        <family val="2"/>
      </rPr>
      <t>Choices</t>
    </r>
    <r>
      <rPr>
        <sz val="10"/>
        <color indexed="8"/>
        <rFont val="Arial"/>
        <family val="2"/>
      </rPr>
      <t xml:space="preserve"> with title in B1</t>
    </r>
  </si>
  <si>
    <t>FIRST PROJECTED YEAR</t>
  </si>
  <si>
    <t>This is a key marker variable for numerous formulae in the main modelling worksheets.</t>
  </si>
  <si>
    <t>Only an extremely unusual scenario would set this to any year other than the first fiscal year after the end of the forecasts.</t>
  </si>
  <si>
    <t>First fiscal year that is projected</t>
  </si>
  <si>
    <r>
      <t xml:space="preserve">Transition increments from years picked in </t>
    </r>
    <r>
      <rPr>
        <i/>
        <sz val="10"/>
        <color indexed="8"/>
        <rFont val="Arial"/>
        <family val="2"/>
      </rPr>
      <t>Choices</t>
    </r>
    <r>
      <rPr>
        <sz val="10"/>
        <color indexed="8"/>
        <rFont val="Calibri"/>
        <family val="2"/>
      </rPr>
      <t>→</t>
    </r>
  </si>
  <si>
    <t>For several small asset and liability classes, the projection moves the value towards the average ratio to nominal GDP,</t>
  </si>
  <si>
    <t>based on the selected number of forecast years. The number of projected years to achieve full transition is also selected.</t>
  </si>
  <si>
    <t>Number of forecast years used to calculate average ratio</t>
  </si>
  <si>
    <t>Number of projected years used to transition to average ratio</t>
  </si>
  <si>
    <t>Core Crown primary balance</t>
  </si>
  <si>
    <t>Government 10-year Bond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</si>
</sst>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0"/>
    <numFmt numFmtId="165" formatCode="0.0000"/>
    <numFmt numFmtId="166" formatCode="0.0%"/>
    <numFmt numFmtId="167" formatCode="#,##0.000"/>
    <numFmt numFmtId="168" formatCode="&quot;$&quot;#,##0"/>
    <numFmt numFmtId="169" formatCode="0.00000"/>
    <numFmt numFmtId="170" formatCode="_(* #,##0.00_);_(* \(#,##0.00\);_(* &quot;-&quot;??_);_(@_)"/>
  </numFmts>
  <fonts count="36" x14ac:knownFonts="1">
    <font>
      <sz val="11"/>
      <color theme="1"/>
      <name val="Calibri"/>
      <family val="2"/>
      <scheme val="minor"/>
    </font>
    <font>
      <b/>
      <sz val="12"/>
      <color indexed="8"/>
      <name val="Arial"/>
      <family val="2"/>
    </font>
    <font>
      <b/>
      <sz val="10"/>
      <color indexed="8"/>
      <name val="Arial"/>
      <family val="2"/>
    </font>
    <font>
      <sz val="10"/>
      <color indexed="8"/>
      <name val="Arial"/>
      <family val="2"/>
    </font>
    <font>
      <i/>
      <sz val="10"/>
      <color indexed="8"/>
      <name val="Arial"/>
      <family val="2"/>
    </font>
    <font>
      <b/>
      <i/>
      <sz val="10"/>
      <color indexed="8"/>
      <name val="Arial"/>
      <family val="2"/>
    </font>
    <font>
      <sz val="9"/>
      <color indexed="81"/>
      <name val="Tahoma"/>
      <family val="2"/>
    </font>
    <font>
      <sz val="10"/>
      <color indexed="8"/>
      <name val="Calibri"/>
      <family val="2"/>
    </font>
    <font>
      <b/>
      <sz val="10"/>
      <name val="Arial"/>
      <family val="2"/>
    </font>
    <font>
      <sz val="10"/>
      <name val="Arial"/>
      <family val="2"/>
    </font>
    <font>
      <b/>
      <sz val="10"/>
      <name val="Calibri"/>
      <family val="2"/>
    </font>
    <font>
      <b/>
      <i/>
      <sz val="12"/>
      <color indexed="8"/>
      <name val="Arial"/>
      <family val="2"/>
    </font>
    <font>
      <b/>
      <sz val="12"/>
      <color indexed="8"/>
      <name val="Calibri"/>
      <family val="2"/>
    </font>
    <font>
      <i/>
      <sz val="9"/>
      <color indexed="81"/>
      <name val="Tahoma"/>
      <family val="2"/>
    </font>
    <font>
      <i/>
      <sz val="10"/>
      <color indexed="12"/>
      <name val="Arial"/>
      <family val="2"/>
    </font>
    <font>
      <i/>
      <sz val="10"/>
      <color indexed="10"/>
      <name val="Arial"/>
      <family val="2"/>
    </font>
    <font>
      <i/>
      <sz val="10"/>
      <name val="Arial"/>
      <family val="2"/>
    </font>
    <font>
      <b/>
      <sz val="10"/>
      <color indexed="8"/>
      <name val="Calibri"/>
      <family val="2"/>
    </font>
    <font>
      <sz val="10"/>
      <name val="Times New Roman"/>
      <family val="1"/>
    </font>
    <font>
      <b/>
      <i/>
      <sz val="11"/>
      <color indexed="8"/>
      <name val="Calibri"/>
      <family val="2"/>
    </font>
    <font>
      <b/>
      <i/>
      <sz val="11"/>
      <color indexed="8"/>
      <name val="Calibri"/>
      <family val="2"/>
    </font>
    <font>
      <sz val="9"/>
      <color indexed="8"/>
      <name val="Arial"/>
      <family val="2"/>
    </font>
    <font>
      <b/>
      <i/>
      <sz val="10"/>
      <color indexed="8"/>
      <name val="Calibri"/>
      <family val="2"/>
    </font>
    <font>
      <u/>
      <sz val="10"/>
      <color indexed="12"/>
      <name val="Arial"/>
      <family val="2"/>
    </font>
    <font>
      <sz val="11"/>
      <color theme="1"/>
      <name val="Calibri"/>
      <family val="2"/>
      <scheme val="minor"/>
    </font>
    <font>
      <u/>
      <sz val="11"/>
      <color theme="10"/>
      <name val="Calibri"/>
      <family val="2"/>
    </font>
    <font>
      <b/>
      <sz val="12"/>
      <color theme="1"/>
      <name val="Arial"/>
      <family val="2"/>
    </font>
    <font>
      <b/>
      <sz val="10"/>
      <color theme="1"/>
      <name val="Arial"/>
      <family val="2"/>
    </font>
    <font>
      <sz val="10"/>
      <color theme="1"/>
      <name val="Arial"/>
      <family val="2"/>
    </font>
    <font>
      <i/>
      <sz val="10"/>
      <color theme="1"/>
      <name val="Arial"/>
      <family val="2"/>
    </font>
    <font>
      <b/>
      <i/>
      <sz val="10"/>
      <color theme="1"/>
      <name val="Arial"/>
      <family val="2"/>
    </font>
    <font>
      <b/>
      <sz val="10"/>
      <color rgb="FFFF0000"/>
      <name val="Arial"/>
      <family val="2"/>
    </font>
    <font>
      <b/>
      <sz val="10"/>
      <color rgb="FF0000FF"/>
      <name val="Arial"/>
      <family val="2"/>
    </font>
    <font>
      <sz val="10"/>
      <color rgb="FF0000FF"/>
      <name val="Arial"/>
      <family val="2"/>
    </font>
    <font>
      <sz val="10"/>
      <color rgb="FFFF0000"/>
      <name val="Arial"/>
      <family val="2"/>
    </font>
    <font>
      <b/>
      <i/>
      <sz val="11"/>
      <color theme="1"/>
      <name val="Calibri"/>
      <family val="2"/>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style="thin">
        <color indexed="64"/>
      </top>
      <bottom style="thin">
        <color indexed="64"/>
      </bottom>
      <diagonal/>
    </border>
    <border>
      <left/>
      <right/>
      <top style="thin">
        <color indexed="64"/>
      </top>
      <bottom/>
      <diagonal/>
    </border>
  </borders>
  <cellStyleXfs count="38">
    <xf numFmtId="0" fontId="0" fillId="0" borderId="0"/>
    <xf numFmtId="170" fontId="24" fillId="0" borderId="0" applyFont="0" applyFill="0" applyBorder="0" applyAlignment="0" applyProtection="0"/>
    <xf numFmtId="170" fontId="9" fillId="0" borderId="0" applyFont="0" applyFill="0" applyBorder="0" applyAlignment="0" applyProtection="0"/>
    <xf numFmtId="0" fontId="25"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4" fillId="0" borderId="0"/>
    <xf numFmtId="0" fontId="9" fillId="0" borderId="0"/>
    <xf numFmtId="0" fontId="2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4" fillId="0" borderId="0"/>
    <xf numFmtId="0" fontId="9" fillId="0" borderId="0"/>
    <xf numFmtId="0" fontId="18" fillId="0" borderId="0"/>
    <xf numFmtId="0" fontId="18" fillId="0" borderId="0"/>
    <xf numFmtId="0" fontId="18" fillId="0" borderId="0"/>
    <xf numFmtId="0" fontId="18" fillId="0" borderId="0"/>
    <xf numFmtId="0" fontId="18" fillId="0" borderId="0"/>
    <xf numFmtId="164" fontId="18" fillId="0" borderId="0"/>
    <xf numFmtId="9" fontId="2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cellStyleXfs>
  <cellXfs count="102">
    <xf numFmtId="0" fontId="0" fillId="0" borderId="0" xfId="0"/>
    <xf numFmtId="0" fontId="26" fillId="0" borderId="0" xfId="0" applyFont="1"/>
    <xf numFmtId="0" fontId="27" fillId="0" borderId="0" xfId="0" applyFont="1"/>
    <xf numFmtId="0" fontId="28" fillId="0" borderId="0" xfId="0" applyFont="1"/>
    <xf numFmtId="0" fontId="29" fillId="0" borderId="0" xfId="0" applyFont="1"/>
    <xf numFmtId="0" fontId="30" fillId="0" borderId="0" xfId="0" applyFont="1"/>
    <xf numFmtId="0" fontId="25" fillId="0" borderId="0" xfId="3" applyAlignment="1" applyProtection="1"/>
    <xf numFmtId="0" fontId="27" fillId="0" borderId="0" xfId="0" applyFont="1" applyAlignment="1">
      <alignment horizontal="center"/>
    </xf>
    <xf numFmtId="0" fontId="27" fillId="0" borderId="0" xfId="0" applyNumberFormat="1" applyFont="1" applyAlignment="1">
      <alignment horizontal="center"/>
    </xf>
    <xf numFmtId="3" fontId="28" fillId="0" borderId="0" xfId="0" applyNumberFormat="1" applyFont="1"/>
    <xf numFmtId="1" fontId="27" fillId="0" borderId="0" xfId="0" applyNumberFormat="1" applyFont="1"/>
    <xf numFmtId="164" fontId="27" fillId="0" borderId="0" xfId="0" applyNumberFormat="1" applyFont="1"/>
    <xf numFmtId="165" fontId="28" fillId="0" borderId="0" xfId="0" applyNumberFormat="1" applyFont="1"/>
    <xf numFmtId="164" fontId="27" fillId="0" borderId="0" xfId="0" applyNumberFormat="1" applyFont="1" applyAlignment="1">
      <alignment horizontal="center"/>
    </xf>
    <xf numFmtId="3" fontId="27" fillId="0" borderId="0" xfId="0" applyNumberFormat="1" applyFont="1"/>
    <xf numFmtId="166" fontId="27" fillId="0" borderId="0" xfId="31" applyNumberFormat="1" applyFont="1"/>
    <xf numFmtId="3" fontId="31" fillId="0" borderId="0" xfId="0" applyNumberFormat="1" applyFont="1"/>
    <xf numFmtId="166" fontId="31" fillId="0" borderId="0" xfId="31" applyNumberFormat="1" applyFont="1"/>
    <xf numFmtId="3" fontId="32" fillId="0" borderId="0" xfId="0" applyNumberFormat="1" applyFont="1"/>
    <xf numFmtId="166" fontId="32" fillId="0" borderId="0" xfId="31" applyNumberFormat="1" applyFont="1"/>
    <xf numFmtId="164" fontId="30" fillId="0" borderId="0" xfId="0" applyNumberFormat="1" applyFont="1"/>
    <xf numFmtId="164" fontId="33" fillId="0" borderId="0" xfId="0" applyNumberFormat="1" applyFont="1"/>
    <xf numFmtId="167" fontId="33" fillId="0" borderId="0" xfId="0" applyNumberFormat="1" applyFont="1"/>
    <xf numFmtId="164" fontId="32" fillId="0" borderId="0" xfId="0" applyNumberFormat="1" applyFont="1"/>
    <xf numFmtId="164" fontId="34" fillId="0" borderId="0" xfId="0" applyNumberFormat="1" applyFont="1"/>
    <xf numFmtId="164" fontId="31" fillId="0" borderId="0" xfId="0" applyNumberFormat="1" applyFont="1"/>
    <xf numFmtId="164" fontId="28" fillId="0" borderId="0" xfId="0" applyNumberFormat="1" applyFont="1"/>
    <xf numFmtId="3" fontId="28" fillId="0" borderId="0" xfId="0" applyNumberFormat="1" applyFont="1" applyAlignment="1">
      <alignment horizontal="center"/>
    </xf>
    <xf numFmtId="3" fontId="34" fillId="0" borderId="0" xfId="0" applyNumberFormat="1" applyFont="1" applyAlignment="1">
      <alignment horizontal="center"/>
    </xf>
    <xf numFmtId="3" fontId="33" fillId="0" borderId="0" xfId="0" applyNumberFormat="1" applyFont="1" applyAlignment="1">
      <alignment horizontal="center"/>
    </xf>
    <xf numFmtId="166" fontId="28" fillId="0" borderId="0" xfId="31" applyNumberFormat="1" applyFont="1"/>
    <xf numFmtId="0" fontId="8" fillId="0" borderId="0" xfId="0" applyFont="1"/>
    <xf numFmtId="0" fontId="9" fillId="0" borderId="0" xfId="0" applyFont="1"/>
    <xf numFmtId="49" fontId="8" fillId="0" borderId="0" xfId="0" applyNumberFormat="1" applyFont="1" applyFill="1"/>
    <xf numFmtId="165" fontId="33" fillId="0" borderId="0" xfId="0" applyNumberFormat="1" applyFont="1"/>
    <xf numFmtId="165" fontId="34" fillId="0" borderId="0" xfId="0" applyNumberFormat="1" applyFont="1"/>
    <xf numFmtId="1" fontId="34" fillId="0" borderId="0" xfId="0" applyNumberFormat="1" applyFont="1"/>
    <xf numFmtId="1" fontId="33" fillId="0" borderId="0" xfId="0" applyNumberFormat="1" applyFont="1"/>
    <xf numFmtId="10" fontId="33" fillId="0" borderId="0" xfId="31" applyNumberFormat="1" applyFont="1"/>
    <xf numFmtId="10" fontId="34" fillId="0" borderId="0" xfId="31" applyNumberFormat="1" applyFont="1"/>
    <xf numFmtId="2" fontId="33" fillId="0" borderId="0" xfId="0" applyNumberFormat="1" applyFont="1"/>
    <xf numFmtId="2" fontId="34" fillId="0" borderId="0" xfId="0" applyNumberFormat="1" applyFont="1"/>
    <xf numFmtId="166" fontId="27" fillId="0" borderId="0" xfId="0" applyNumberFormat="1" applyFont="1" applyAlignment="1">
      <alignment horizontal="center"/>
    </xf>
    <xf numFmtId="49" fontId="9" fillId="0" borderId="0" xfId="0" applyNumberFormat="1" applyFont="1" applyFill="1"/>
    <xf numFmtId="1" fontId="27" fillId="0" borderId="0" xfId="0" applyNumberFormat="1" applyFont="1" applyAlignment="1">
      <alignment horizontal="center"/>
    </xf>
    <xf numFmtId="0" fontId="27" fillId="0" borderId="0" xfId="0" applyFont="1" applyAlignment="1">
      <alignment horizontal="right"/>
    </xf>
    <xf numFmtId="0" fontId="32" fillId="0" borderId="0" xfId="0" applyNumberFormat="1" applyFont="1" applyAlignment="1">
      <alignment horizontal="center"/>
    </xf>
    <xf numFmtId="0" fontId="32" fillId="0" borderId="0" xfId="0" applyFont="1" applyAlignment="1">
      <alignment horizontal="center"/>
    </xf>
    <xf numFmtId="0" fontId="31" fillId="0" borderId="0" xfId="0" applyNumberFormat="1" applyFont="1" applyAlignment="1">
      <alignment horizontal="center"/>
    </xf>
    <xf numFmtId="0" fontId="31" fillId="0" borderId="0" xfId="0" applyFont="1" applyAlignment="1">
      <alignment horizontal="center"/>
    </xf>
    <xf numFmtId="2" fontId="28" fillId="0" borderId="0" xfId="0" applyNumberFormat="1" applyFont="1"/>
    <xf numFmtId="166" fontId="34" fillId="0" borderId="0" xfId="31" applyNumberFormat="1" applyFont="1"/>
    <xf numFmtId="166" fontId="33" fillId="0" borderId="0" xfId="31" applyNumberFormat="1" applyFont="1"/>
    <xf numFmtId="1" fontId="28" fillId="0" borderId="0" xfId="0" applyNumberFormat="1" applyFont="1"/>
    <xf numFmtId="164" fontId="27" fillId="0" borderId="1" xfId="0" applyNumberFormat="1" applyFont="1" applyFill="1" applyBorder="1"/>
    <xf numFmtId="2" fontId="27" fillId="0" borderId="0" xfId="0" applyNumberFormat="1" applyFont="1" applyAlignment="1">
      <alignment horizontal="center"/>
    </xf>
    <xf numFmtId="164" fontId="32" fillId="0" borderId="2" xfId="0" applyNumberFormat="1" applyFont="1" applyBorder="1"/>
    <xf numFmtId="164" fontId="31" fillId="0" borderId="2" xfId="0" applyNumberFormat="1" applyFont="1" applyBorder="1"/>
    <xf numFmtId="164" fontId="27" fillId="0" borderId="2" xfId="0" applyNumberFormat="1" applyFont="1" applyBorder="1"/>
    <xf numFmtId="10" fontId="28" fillId="0" borderId="0" xfId="31" applyNumberFormat="1" applyFont="1"/>
    <xf numFmtId="10" fontId="27" fillId="0" borderId="0" xfId="0" applyNumberFormat="1" applyFont="1" applyAlignment="1">
      <alignment horizontal="center"/>
    </xf>
    <xf numFmtId="164" fontId="28" fillId="2" borderId="0" xfId="0" applyNumberFormat="1" applyFont="1" applyFill="1"/>
    <xf numFmtId="164" fontId="32" fillId="0" borderId="0" xfId="0" applyNumberFormat="1" applyFont="1" applyBorder="1"/>
    <xf numFmtId="164" fontId="27" fillId="0" borderId="0" xfId="0" applyNumberFormat="1" applyFont="1" applyBorder="1"/>
    <xf numFmtId="0" fontId="28" fillId="0" borderId="0" xfId="0" applyFont="1" applyAlignment="1">
      <alignment horizontal="center"/>
    </xf>
    <xf numFmtId="164" fontId="33" fillId="0" borderId="0" xfId="0" applyNumberFormat="1" applyFont="1" applyBorder="1"/>
    <xf numFmtId="0" fontId="16" fillId="0" borderId="0" xfId="0" applyFont="1"/>
    <xf numFmtId="164" fontId="27" fillId="2" borderId="1" xfId="0" applyNumberFormat="1" applyFont="1" applyFill="1" applyBorder="1"/>
    <xf numFmtId="0" fontId="28" fillId="2" borderId="0" xfId="0" applyFont="1" applyFill="1"/>
    <xf numFmtId="164" fontId="8" fillId="0" borderId="0" xfId="0" applyNumberFormat="1" applyFont="1"/>
    <xf numFmtId="164" fontId="31" fillId="0" borderId="0" xfId="0" applyNumberFormat="1" applyFont="1" applyBorder="1"/>
    <xf numFmtId="164" fontId="33" fillId="2" borderId="0" xfId="0" applyNumberFormat="1" applyFont="1" applyFill="1"/>
    <xf numFmtId="164" fontId="27" fillId="0" borderId="0" xfId="0" applyNumberFormat="1" applyFont="1" applyFill="1" applyBorder="1"/>
    <xf numFmtId="164" fontId="34" fillId="0" borderId="0" xfId="0" applyNumberFormat="1" applyFont="1" applyBorder="1"/>
    <xf numFmtId="164" fontId="32" fillId="0" borderId="1" xfId="0" applyNumberFormat="1" applyFont="1" applyBorder="1"/>
    <xf numFmtId="164" fontId="27" fillId="0" borderId="1" xfId="0" applyNumberFormat="1" applyFont="1" applyBorder="1"/>
    <xf numFmtId="164" fontId="31" fillId="0" borderId="1" xfId="0" applyNumberFormat="1" applyFont="1" applyBorder="1"/>
    <xf numFmtId="164" fontId="28" fillId="0" borderId="0" xfId="0" applyNumberFormat="1" applyFont="1" applyBorder="1"/>
    <xf numFmtId="164" fontId="28" fillId="0" borderId="0" xfId="0" applyNumberFormat="1" applyFont="1" applyFill="1"/>
    <xf numFmtId="10" fontId="33" fillId="0" borderId="0" xfId="31" applyNumberFormat="1" applyFont="1" applyBorder="1"/>
    <xf numFmtId="10" fontId="34" fillId="0" borderId="0" xfId="31" applyNumberFormat="1" applyFont="1" applyBorder="1"/>
    <xf numFmtId="164" fontId="8" fillId="0" borderId="0" xfId="30" applyFont="1" applyFill="1" applyAlignment="1">
      <alignment horizontal="left"/>
    </xf>
    <xf numFmtId="0" fontId="30" fillId="0" borderId="0" xfId="0" applyFont="1" applyAlignment="1">
      <alignment horizontal="right"/>
    </xf>
    <xf numFmtId="0" fontId="35" fillId="0" borderId="0" xfId="0" applyFont="1"/>
    <xf numFmtId="0" fontId="27" fillId="0" borderId="0" xfId="0" applyFont="1" applyAlignment="1">
      <alignment horizontal="left"/>
    </xf>
    <xf numFmtId="168" fontId="28" fillId="0" borderId="0" xfId="0" applyNumberFormat="1" applyFont="1"/>
    <xf numFmtId="10" fontId="28" fillId="0" borderId="0" xfId="0" applyNumberFormat="1" applyFont="1"/>
    <xf numFmtId="166" fontId="28" fillId="0" borderId="0" xfId="0" applyNumberFormat="1" applyFont="1"/>
    <xf numFmtId="164" fontId="29" fillId="0" borderId="0" xfId="0" applyNumberFormat="1" applyFont="1"/>
    <xf numFmtId="9" fontId="28" fillId="0" borderId="0" xfId="31" applyFont="1"/>
    <xf numFmtId="1" fontId="28" fillId="0" borderId="0" xfId="0" applyNumberFormat="1" applyFont="1" applyAlignment="1">
      <alignment horizontal="center"/>
    </xf>
    <xf numFmtId="169" fontId="28" fillId="0" borderId="0" xfId="0" applyNumberFormat="1" applyFont="1"/>
    <xf numFmtId="0" fontId="27" fillId="0" borderId="0" xfId="0" applyFont="1" applyFill="1" applyAlignment="1">
      <alignment horizontal="center"/>
    </xf>
    <xf numFmtId="10" fontId="34" fillId="0" borderId="0" xfId="0" applyNumberFormat="1" applyFont="1" applyAlignment="1">
      <alignment horizontal="right"/>
    </xf>
    <xf numFmtId="1" fontId="27" fillId="2" borderId="0" xfId="0" applyNumberFormat="1" applyFont="1" applyFill="1" applyAlignment="1">
      <alignment horizontal="center"/>
    </xf>
    <xf numFmtId="10" fontId="27" fillId="0" borderId="0" xfId="0" applyNumberFormat="1" applyFont="1" applyAlignment="1">
      <alignment horizontal="right"/>
    </xf>
    <xf numFmtId="164" fontId="28" fillId="0" borderId="0" xfId="0" applyNumberFormat="1" applyFont="1" applyAlignment="1">
      <alignment horizontal="right"/>
    </xf>
    <xf numFmtId="164" fontId="27" fillId="0" borderId="0" xfId="0" applyNumberFormat="1" applyFont="1" applyAlignment="1">
      <alignment horizontal="right"/>
    </xf>
    <xf numFmtId="169" fontId="33" fillId="0" borderId="0" xfId="0" applyNumberFormat="1" applyFont="1"/>
    <xf numFmtId="169" fontId="34" fillId="0" borderId="0" xfId="0" applyNumberFormat="1" applyFont="1"/>
    <xf numFmtId="169" fontId="9" fillId="0" borderId="0" xfId="0" applyNumberFormat="1" applyFont="1"/>
    <xf numFmtId="169" fontId="27" fillId="0" borderId="0" xfId="0" applyNumberFormat="1" applyFont="1" applyAlignment="1">
      <alignment horizontal="center"/>
    </xf>
  </cellXfs>
  <cellStyles count="38">
    <cellStyle name="Comma 2" xfId="1"/>
    <cellStyle name="Comma 3" xfId="2"/>
    <cellStyle name="Hyperlink" xfId="3" builtinId="8"/>
    <cellStyle name="Hyperlink 2" xfId="4"/>
    <cellStyle name="Normal" xfId="0" builtinId="0"/>
    <cellStyle name="Normal 10" xfId="5"/>
    <cellStyle name="Normal 10 2" xfId="6"/>
    <cellStyle name="Normal 10 3" xfId="7"/>
    <cellStyle name="Normal 10 4" xfId="8"/>
    <cellStyle name="Normal 10 5" xfId="9"/>
    <cellStyle name="Normal 10 6" xfId="10"/>
    <cellStyle name="Normal 11" xfId="11"/>
    <cellStyle name="Normal 11 2" xfId="12"/>
    <cellStyle name="Normal 12" xfId="13"/>
    <cellStyle name="Normal 13" xfId="14"/>
    <cellStyle name="Normal 2" xfId="15"/>
    <cellStyle name="Normal 2 2" xfId="16"/>
    <cellStyle name="Normal 2 3" xfId="17"/>
    <cellStyle name="Normal 2 4" xfId="18"/>
    <cellStyle name="Normal 2 5" xfId="19"/>
    <cellStyle name="Normal 2 6" xfId="20"/>
    <cellStyle name="Normal 2 7" xfId="21"/>
    <cellStyle name="Normal 3" xfId="22"/>
    <cellStyle name="Normal 32" xfId="23"/>
    <cellStyle name="Normal 4" xfId="24"/>
    <cellStyle name="Normal 5" xfId="25"/>
    <cellStyle name="Normal 6" xfId="26"/>
    <cellStyle name="Normal 7" xfId="27"/>
    <cellStyle name="Normal 8" xfId="28"/>
    <cellStyle name="Normal 9" xfId="29"/>
    <cellStyle name="Normal_H-Ass" xfId="30"/>
    <cellStyle name="Percent" xfId="31" builtinId="5"/>
    <cellStyle name="Percent 2" xfId="32"/>
    <cellStyle name="Percent 2 2" xfId="33"/>
    <cellStyle name="Percent 2 3" xfId="34"/>
    <cellStyle name="Percent 2 4" xfId="35"/>
    <cellStyle name="Percent 2 5" xfId="36"/>
    <cellStyle name="Percent 2 6" xfId="3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Drop" dropLines="17" dropStyle="combo" dx="22" fmlaLink="Display!$B$1" fmlaRange="Display!$A$2:$A$18" noThreeD="1" sel="2" val="0"/>
</file>

<file path=xl/ctrlProps/ctrlProp2.xml><?xml version="1.0" encoding="utf-8"?>
<formControlPr xmlns="http://schemas.microsoft.com/office/spreadsheetml/2009/9/main" objectType="Drop" dropLines="17" dropStyle="combo" dx="22" fmlaLink="Display!$B$1" fmlaRange="Display!$A$2:$A$18" noThreeD="1"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4</xdr:row>
          <xdr:rowOff>0</xdr:rowOff>
        </xdr:from>
        <xdr:to>
          <xdr:col>1</xdr:col>
          <xdr:colOff>0</xdr:colOff>
          <xdr:row>5</xdr:row>
          <xdr:rowOff>9525</xdr:rowOff>
        </xdr:to>
        <xdr:sp macro="" textlink="">
          <xdr:nvSpPr>
            <xdr:cNvPr id="11265" name="Drop Down 1" hidden="1">
              <a:extLst>
                <a:ext uri="{63B3BB69-23CF-44E3-9099-C40C66FF867C}">
                  <a14:compatExt spid="_x0000_s112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4</xdr:row>
          <xdr:rowOff>0</xdr:rowOff>
        </xdr:from>
        <xdr:to>
          <xdr:col>1</xdr:col>
          <xdr:colOff>0</xdr:colOff>
          <xdr:row>5</xdr:row>
          <xdr:rowOff>9525</xdr:rowOff>
        </xdr:to>
        <xdr:sp macro="" textlink="">
          <xdr:nvSpPr>
            <xdr:cNvPr id="7169" name="Drop Down 1" hidden="1">
              <a:extLst>
                <a:ext uri="{63B3BB69-23CF-44E3-9099-C40C66FF867C}">
                  <a14:compatExt spid="_x0000_s7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11.bin"/><Relationship Id="rId5" Type="http://schemas.openxmlformats.org/officeDocument/2006/relationships/comments" Target="../comments4.xml"/><Relationship Id="rId4" Type="http://schemas.openxmlformats.org/officeDocument/2006/relationships/ctrlProp" Target="../ctrlProps/ctrlProp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12.bin"/><Relationship Id="rId5" Type="http://schemas.openxmlformats.org/officeDocument/2006/relationships/comments" Target="../comments5.xml"/><Relationship Id="rId4"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reasury.govt.nz/government/assets/nzsf/contributionratemode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educationcounts.govt.nz/statistics" TargetMode="External"/><Relationship Id="rId2" Type="http://schemas.openxmlformats.org/officeDocument/2006/relationships/hyperlink" Target="http://www.treasury.govt.nz/government/assets/nzsf/contributionratemodel" TargetMode="External"/><Relationship Id="rId1" Type="http://schemas.openxmlformats.org/officeDocument/2006/relationships/hyperlink" Target="http://www.stats.govt.nz/" TargetMode="Externa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nzdotstat.stats.govt.nz/wbos/Index.aspx" TargetMode="External"/><Relationship Id="rId1" Type="http://schemas.openxmlformats.org/officeDocument/2006/relationships/hyperlink" Target="http://www.stats.govt.nz/infoshare/"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stats.govt.nz/infoshare/" TargetMode="External"/><Relationship Id="rId1" Type="http://schemas.openxmlformats.org/officeDocument/2006/relationships/hyperlink" Target="http://nzdotstat.stats.govt.nz/wbos/Index.aspx"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7.bin"/><Relationship Id="rId1" Type="http://schemas.openxmlformats.org/officeDocument/2006/relationships/hyperlink" Target="http://www.treasury.govt.nz/budget/forecasts" TargetMode="External"/><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C18"/>
  <sheetViews>
    <sheetView workbookViewId="0">
      <selection activeCell="B19" sqref="B19"/>
    </sheetView>
  </sheetViews>
  <sheetFormatPr defaultRowHeight="15" x14ac:dyDescent="0.25"/>
  <cols>
    <col min="1" max="1" width="53.5703125" customWidth="1"/>
  </cols>
  <sheetData>
    <row r="1" spans="1:3" x14ac:dyDescent="0.25">
      <c r="A1" s="83" t="s">
        <v>791</v>
      </c>
      <c r="B1">
        <v>2</v>
      </c>
      <c r="C1">
        <f ca="1">OFFSET($A$1,$B$1,1)</f>
        <v>92</v>
      </c>
    </row>
    <row r="2" spans="1:3" x14ac:dyDescent="0.25">
      <c r="A2" s="2" t="s">
        <v>790</v>
      </c>
      <c r="B2">
        <v>47</v>
      </c>
    </row>
    <row r="3" spans="1:3" x14ac:dyDescent="0.25">
      <c r="A3" s="2" t="s">
        <v>814</v>
      </c>
      <c r="B3">
        <v>92</v>
      </c>
    </row>
    <row r="4" spans="1:3" x14ac:dyDescent="0.25">
      <c r="A4" s="2" t="s">
        <v>806</v>
      </c>
      <c r="B4">
        <v>59</v>
      </c>
    </row>
    <row r="5" spans="1:3" x14ac:dyDescent="0.25">
      <c r="A5" s="2" t="s">
        <v>340</v>
      </c>
      <c r="B5">
        <v>87</v>
      </c>
    </row>
    <row r="6" spans="1:3" x14ac:dyDescent="0.25">
      <c r="A6" s="2" t="s">
        <v>796</v>
      </c>
      <c r="B6">
        <v>39</v>
      </c>
    </row>
    <row r="7" spans="1:3" x14ac:dyDescent="0.25">
      <c r="A7" s="2" t="s">
        <v>797</v>
      </c>
      <c r="B7">
        <v>41</v>
      </c>
    </row>
    <row r="8" spans="1:3" x14ac:dyDescent="0.25">
      <c r="A8" s="2" t="s">
        <v>792</v>
      </c>
      <c r="B8">
        <v>55</v>
      </c>
    </row>
    <row r="9" spans="1:3" x14ac:dyDescent="0.25">
      <c r="A9" s="2" t="s">
        <v>798</v>
      </c>
      <c r="B9">
        <v>45</v>
      </c>
    </row>
    <row r="10" spans="1:3" x14ac:dyDescent="0.25">
      <c r="A10" s="2" t="s">
        <v>799</v>
      </c>
      <c r="B10">
        <v>56</v>
      </c>
    </row>
    <row r="11" spans="1:3" x14ac:dyDescent="0.25">
      <c r="A11" s="2" t="s">
        <v>898</v>
      </c>
      <c r="B11">
        <v>52</v>
      </c>
    </row>
    <row r="12" spans="1:3" x14ac:dyDescent="0.25">
      <c r="A12" s="2" t="s">
        <v>899</v>
      </c>
      <c r="B12">
        <v>53</v>
      </c>
    </row>
    <row r="13" spans="1:3" x14ac:dyDescent="0.25">
      <c r="A13" s="2" t="s">
        <v>800</v>
      </c>
      <c r="B13">
        <v>57</v>
      </c>
    </row>
    <row r="14" spans="1:3" x14ac:dyDescent="0.25">
      <c r="A14" s="2" t="s">
        <v>804</v>
      </c>
      <c r="B14">
        <v>70</v>
      </c>
    </row>
    <row r="15" spans="1:3" x14ac:dyDescent="0.25">
      <c r="A15" s="2" t="s">
        <v>805</v>
      </c>
      <c r="B15">
        <v>72</v>
      </c>
    </row>
    <row r="16" spans="1:3" x14ac:dyDescent="0.25">
      <c r="A16" s="2" t="s">
        <v>781</v>
      </c>
      <c r="B16">
        <v>78</v>
      </c>
    </row>
    <row r="17" spans="1:2" x14ac:dyDescent="0.25">
      <c r="A17" s="2" t="s">
        <v>807</v>
      </c>
      <c r="B17">
        <v>84</v>
      </c>
    </row>
    <row r="18" spans="1:2" x14ac:dyDescent="0.25">
      <c r="A18" s="2" t="s">
        <v>808</v>
      </c>
      <c r="B18">
        <v>85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zoomScale="90" zoomScaleNormal="90" workbookViewId="0">
      <selection activeCell="E6" sqref="E6"/>
    </sheetView>
  </sheetViews>
  <sheetFormatPr defaultColWidth="8.7109375" defaultRowHeight="12.75" x14ac:dyDescent="0.2"/>
  <cols>
    <col min="1" max="1" width="16.85546875" style="3" customWidth="1"/>
    <col min="2" max="4" width="8.7109375" style="3" customWidth="1"/>
    <col min="5" max="16384" width="8.7109375" style="3"/>
  </cols>
  <sheetData>
    <row r="1" spans="1:9" ht="15.75" x14ac:dyDescent="0.25">
      <c r="A1" s="1" t="s">
        <v>859</v>
      </c>
    </row>
    <row r="2" spans="1:9" x14ac:dyDescent="0.2">
      <c r="A2" s="4" t="s">
        <v>869</v>
      </c>
    </row>
    <row r="4" spans="1:9" ht="15" x14ac:dyDescent="0.25">
      <c r="A4" s="4"/>
      <c r="D4" s="6"/>
      <c r="E4" s="2" t="s">
        <v>860</v>
      </c>
    </row>
    <row r="5" spans="1:9" x14ac:dyDescent="0.2">
      <c r="A5" s="2" t="s">
        <v>100</v>
      </c>
      <c r="E5" s="8" t="str">
        <f>'Fiscal Forecasts'!O$6</f>
        <v>15/16</v>
      </c>
      <c r="F5" s="8" t="str">
        <f>'Fiscal Forecasts'!P$6</f>
        <v>16/17</v>
      </c>
      <c r="G5" s="8" t="str">
        <f>'Fiscal Forecasts'!Q$6</f>
        <v>17/18</v>
      </c>
      <c r="H5" s="8" t="str">
        <f>'Fiscal Forecasts'!R$6</f>
        <v>18/19</v>
      </c>
      <c r="I5" s="8" t="str">
        <f>'Fiscal Forecasts'!S$6</f>
        <v>19/20</v>
      </c>
    </row>
    <row r="6" spans="1:9" x14ac:dyDescent="0.2">
      <c r="E6" s="7">
        <f>'Fiscal Forecasts'!O$7</f>
        <v>2016</v>
      </c>
      <c r="F6" s="7">
        <f>'Fiscal Forecasts'!P$7</f>
        <v>2017</v>
      </c>
      <c r="G6" s="7">
        <f>'Fiscal Forecasts'!Q$7</f>
        <v>2018</v>
      </c>
      <c r="H6" s="7">
        <f>'Fiscal Forecasts'!R$7</f>
        <v>2019</v>
      </c>
      <c r="I6" s="7">
        <f>'Fiscal Forecasts'!S$7</f>
        <v>2020</v>
      </c>
    </row>
    <row r="7" spans="1:9" x14ac:dyDescent="0.2">
      <c r="E7" s="7"/>
      <c r="F7" s="7"/>
      <c r="G7" s="7"/>
      <c r="H7" s="7"/>
      <c r="I7" s="7"/>
    </row>
    <row r="8" spans="1:9" x14ac:dyDescent="0.2">
      <c r="A8" s="3" t="s">
        <v>868</v>
      </c>
      <c r="E8" s="60">
        <f ca="1">OFFSET('Fiscal Forecasts'!$I$257,0,E$6-'Fiscal Forecasts'!$I$7)/AVERAGE(OFFSET('Fiscal Forecasts'!$I$150,0,E$6-'Fiscal Forecasts'!$I$7-1),OFFSET('Fiscal Forecasts'!$I$150,0,E$6-'Fiscal Forecasts'!$I$7))</f>
        <v>3.7741497581798192E-2</v>
      </c>
      <c r="F8" s="60">
        <f ca="1">OFFSET('Fiscal Forecasts'!$I$257,0,F$6-'Fiscal Forecasts'!$I$7)/AVERAGE(OFFSET('Fiscal Forecasts'!$I$150,0,F$6-'Fiscal Forecasts'!$I$7-1),OFFSET('Fiscal Forecasts'!$I$150,0,F$6-'Fiscal Forecasts'!$I$7))</f>
        <v>3.8538919816388323E-2</v>
      </c>
      <c r="G8" s="60">
        <f ca="1">OFFSET('Fiscal Forecasts'!$I$257,0,G$6-'Fiscal Forecasts'!$I$7)/AVERAGE(OFFSET('Fiscal Forecasts'!$I$150,0,G$6-'Fiscal Forecasts'!$I$7-1),OFFSET('Fiscal Forecasts'!$I$150,0,G$6-'Fiscal Forecasts'!$I$7))</f>
        <v>3.8465190474381863E-2</v>
      </c>
      <c r="H8" s="60">
        <f ca="1">OFFSET('Fiscal Forecasts'!$I$257,0,H$6-'Fiscal Forecasts'!$I$7)/AVERAGE(OFFSET('Fiscal Forecasts'!$I$150,0,H$6-'Fiscal Forecasts'!$I$7-1),OFFSET('Fiscal Forecasts'!$I$150,0,H$6-'Fiscal Forecasts'!$I$7))</f>
        <v>4.1198063105279605E-2</v>
      </c>
      <c r="I8" s="60">
        <f ca="1">OFFSET('Fiscal Forecasts'!$I$257,0,I$6-'Fiscal Forecasts'!$I$7)/AVERAGE(OFFSET('Fiscal Forecasts'!$I$150,0,I$6-'Fiscal Forecasts'!$I$7-1),OFFSET('Fiscal Forecasts'!$I$150,0,I$6-'Fiscal Forecasts'!$I$7))</f>
        <v>4.2610128637135064E-2</v>
      </c>
    </row>
    <row r="9" spans="1:9" x14ac:dyDescent="0.2">
      <c r="A9" s="2" t="s">
        <v>861</v>
      </c>
      <c r="E9" s="49"/>
      <c r="F9" s="49"/>
      <c r="G9" s="49"/>
      <c r="H9" s="49"/>
      <c r="I9" s="49"/>
    </row>
    <row r="10" spans="1:9" x14ac:dyDescent="0.2">
      <c r="A10" s="3" t="s">
        <v>359</v>
      </c>
      <c r="E10" s="90">
        <v>0</v>
      </c>
      <c r="F10" s="90">
        <v>0</v>
      </c>
      <c r="G10" s="90">
        <v>0</v>
      </c>
      <c r="H10" s="90">
        <v>0</v>
      </c>
      <c r="I10" s="90">
        <v>0</v>
      </c>
    </row>
    <row r="11" spans="1:9" x14ac:dyDescent="0.2">
      <c r="A11" s="3" t="s">
        <v>379</v>
      </c>
      <c r="E11" s="90">
        <v>0</v>
      </c>
      <c r="F11" s="90">
        <v>0</v>
      </c>
      <c r="G11" s="90">
        <v>0</v>
      </c>
      <c r="H11" s="90">
        <v>0</v>
      </c>
      <c r="I11" s="90">
        <v>0</v>
      </c>
    </row>
    <row r="12" spans="1:9" x14ac:dyDescent="0.2">
      <c r="A12" s="3" t="s">
        <v>863</v>
      </c>
      <c r="E12" s="90">
        <v>0</v>
      </c>
      <c r="F12" s="90">
        <v>0</v>
      </c>
      <c r="G12" s="90">
        <v>0</v>
      </c>
      <c r="H12" s="90">
        <v>0</v>
      </c>
      <c r="I12" s="90">
        <v>0</v>
      </c>
    </row>
    <row r="13" spans="1:9" x14ac:dyDescent="0.2">
      <c r="A13" s="3" t="s">
        <v>386</v>
      </c>
      <c r="E13" s="90">
        <v>0</v>
      </c>
      <c r="F13" s="90">
        <v>0</v>
      </c>
      <c r="G13" s="90">
        <v>0</v>
      </c>
      <c r="H13" s="90">
        <v>0</v>
      </c>
      <c r="I13" s="90">
        <v>0</v>
      </c>
    </row>
    <row r="14" spans="1:9" x14ac:dyDescent="0.2">
      <c r="A14" s="3" t="s">
        <v>864</v>
      </c>
      <c r="E14" s="90">
        <v>0</v>
      </c>
      <c r="F14" s="90">
        <v>0</v>
      </c>
      <c r="G14" s="90">
        <v>0</v>
      </c>
      <c r="H14" s="90">
        <v>0</v>
      </c>
      <c r="I14" s="90">
        <v>0</v>
      </c>
    </row>
    <row r="15" spans="1:9" x14ac:dyDescent="0.2">
      <c r="A15" s="5" t="s">
        <v>861</v>
      </c>
      <c r="E15" s="44">
        <f>SUM(E$10:E$14)</f>
        <v>0</v>
      </c>
      <c r="F15" s="44">
        <f>SUM(F$10:F$14)</f>
        <v>0</v>
      </c>
      <c r="G15" s="44">
        <f>SUM(G$10:G$14)</f>
        <v>0</v>
      </c>
      <c r="H15" s="44">
        <f>SUM(H$10:H$14)</f>
        <v>0</v>
      </c>
      <c r="I15" s="44">
        <f>SUM(I$10:I$14)</f>
        <v>0</v>
      </c>
    </row>
    <row r="16" spans="1:9" x14ac:dyDescent="0.2">
      <c r="A16" s="3" t="s">
        <v>865</v>
      </c>
      <c r="E16" s="90">
        <v>0</v>
      </c>
      <c r="F16" s="90">
        <v>0</v>
      </c>
      <c r="G16" s="90">
        <v>0</v>
      </c>
      <c r="H16" s="90">
        <v>0</v>
      </c>
      <c r="I16" s="90">
        <v>0</v>
      </c>
    </row>
    <row r="17" spans="1:11" x14ac:dyDescent="0.2">
      <c r="A17" s="3" t="s">
        <v>423</v>
      </c>
      <c r="E17" s="90">
        <v>0</v>
      </c>
      <c r="F17" s="90">
        <v>0</v>
      </c>
      <c r="G17" s="90">
        <v>0</v>
      </c>
      <c r="H17" s="90">
        <v>0</v>
      </c>
      <c r="I17" s="90">
        <v>0</v>
      </c>
    </row>
    <row r="18" spans="1:11" x14ac:dyDescent="0.2">
      <c r="A18" s="3" t="s">
        <v>152</v>
      </c>
      <c r="E18" s="90">
        <v>0</v>
      </c>
      <c r="F18" s="90">
        <v>0</v>
      </c>
      <c r="G18" s="90">
        <v>0</v>
      </c>
      <c r="H18" s="90">
        <v>0</v>
      </c>
      <c r="I18" s="90">
        <v>0</v>
      </c>
    </row>
    <row r="19" spans="1:11" x14ac:dyDescent="0.2">
      <c r="A19" s="3" t="s">
        <v>151</v>
      </c>
      <c r="E19" s="90">
        <v>0</v>
      </c>
      <c r="F19" s="90">
        <v>0</v>
      </c>
      <c r="G19" s="90">
        <v>0</v>
      </c>
      <c r="H19" s="90">
        <v>0</v>
      </c>
      <c r="I19" s="90">
        <v>0</v>
      </c>
    </row>
    <row r="20" spans="1:11" x14ac:dyDescent="0.2">
      <c r="A20" s="3" t="s">
        <v>429</v>
      </c>
      <c r="E20" s="90">
        <v>0</v>
      </c>
      <c r="F20" s="90">
        <v>0</v>
      </c>
      <c r="G20" s="90">
        <v>0</v>
      </c>
      <c r="H20" s="90">
        <v>0</v>
      </c>
      <c r="I20" s="90">
        <v>0</v>
      </c>
    </row>
    <row r="21" spans="1:11" x14ac:dyDescent="0.2">
      <c r="A21" s="3" t="s">
        <v>425</v>
      </c>
      <c r="E21" s="90">
        <v>0</v>
      </c>
      <c r="F21" s="90">
        <v>0</v>
      </c>
      <c r="G21" s="90">
        <v>0</v>
      </c>
      <c r="H21" s="90">
        <v>0</v>
      </c>
      <c r="I21" s="90">
        <v>0</v>
      </c>
    </row>
    <row r="22" spans="1:11" x14ac:dyDescent="0.2">
      <c r="A22" s="3" t="s">
        <v>426</v>
      </c>
      <c r="E22" s="90">
        <v>0</v>
      </c>
      <c r="F22" s="90">
        <v>0</v>
      </c>
      <c r="G22" s="90">
        <v>0</v>
      </c>
      <c r="H22" s="90">
        <v>0</v>
      </c>
      <c r="I22" s="90">
        <v>0</v>
      </c>
    </row>
    <row r="23" spans="1:11" x14ac:dyDescent="0.2">
      <c r="A23" s="3" t="s">
        <v>427</v>
      </c>
      <c r="E23" s="90">
        <v>0</v>
      </c>
      <c r="F23" s="90">
        <v>0</v>
      </c>
      <c r="G23" s="90">
        <v>0</v>
      </c>
      <c r="H23" s="90">
        <v>0</v>
      </c>
      <c r="I23" s="90">
        <v>0</v>
      </c>
    </row>
    <row r="24" spans="1:11" x14ac:dyDescent="0.2">
      <c r="A24" s="3" t="s">
        <v>428</v>
      </c>
      <c r="E24" s="90">
        <v>0</v>
      </c>
      <c r="F24" s="90">
        <v>0</v>
      </c>
      <c r="G24" s="90">
        <v>0</v>
      </c>
      <c r="H24" s="90">
        <v>0</v>
      </c>
      <c r="I24" s="90">
        <v>0</v>
      </c>
    </row>
    <row r="25" spans="1:11" x14ac:dyDescent="0.2">
      <c r="A25" s="3" t="s">
        <v>432</v>
      </c>
      <c r="E25" s="90">
        <v>0</v>
      </c>
      <c r="F25" s="90">
        <v>0</v>
      </c>
      <c r="G25" s="90">
        <v>0</v>
      </c>
      <c r="H25" s="90">
        <v>0</v>
      </c>
      <c r="I25" s="90">
        <v>0</v>
      </c>
    </row>
    <row r="26" spans="1:11" x14ac:dyDescent="0.2">
      <c r="A26" s="3" t="s">
        <v>431</v>
      </c>
      <c r="E26" s="90">
        <v>0</v>
      </c>
      <c r="F26" s="90">
        <v>0</v>
      </c>
      <c r="G26" s="90">
        <v>0</v>
      </c>
      <c r="H26" s="90">
        <v>0</v>
      </c>
      <c r="I26" s="90">
        <v>0</v>
      </c>
    </row>
    <row r="27" spans="1:11" x14ac:dyDescent="0.2">
      <c r="A27" s="3" t="s">
        <v>434</v>
      </c>
      <c r="E27" s="90">
        <v>0</v>
      </c>
      <c r="F27" s="90">
        <v>0</v>
      </c>
      <c r="G27" s="90">
        <v>0</v>
      </c>
      <c r="H27" s="90">
        <v>0</v>
      </c>
      <c r="I27" s="90">
        <v>0</v>
      </c>
    </row>
    <row r="28" spans="1:11" x14ac:dyDescent="0.2">
      <c r="A28" s="5" t="s">
        <v>436</v>
      </c>
      <c r="E28" s="44">
        <f>SUM(E$16:E$27)</f>
        <v>0</v>
      </c>
      <c r="F28" s="44">
        <f>SUM(F$16:F$27)</f>
        <v>0</v>
      </c>
      <c r="G28" s="44">
        <f>SUM(G$16:G$27)</f>
        <v>0</v>
      </c>
      <c r="H28" s="44">
        <f>SUM(H$16:H$27)</f>
        <v>0</v>
      </c>
      <c r="I28" s="44">
        <f>SUM(I$16:I$27)</f>
        <v>0</v>
      </c>
    </row>
    <row r="29" spans="1:11" x14ac:dyDescent="0.2">
      <c r="A29" s="3" t="s">
        <v>235</v>
      </c>
      <c r="E29" s="90">
        <v>0</v>
      </c>
      <c r="F29" s="90">
        <v>0</v>
      </c>
      <c r="G29" s="90">
        <v>0</v>
      </c>
      <c r="H29" s="90">
        <v>0</v>
      </c>
      <c r="I29" s="90">
        <v>0</v>
      </c>
      <c r="K29" s="3" t="s">
        <v>866</v>
      </c>
    </row>
    <row r="30" spans="1:11" x14ac:dyDescent="0.2">
      <c r="A30" s="3" t="s">
        <v>315</v>
      </c>
      <c r="E30" s="90">
        <v>0</v>
      </c>
      <c r="F30" s="90">
        <v>0</v>
      </c>
      <c r="G30" s="90">
        <v>0</v>
      </c>
      <c r="H30" s="90">
        <v>0</v>
      </c>
      <c r="I30" s="90">
        <v>0</v>
      </c>
      <c r="K30" s="3" t="s">
        <v>867</v>
      </c>
    </row>
    <row r="31" spans="1:11" x14ac:dyDescent="0.2">
      <c r="A31" s="5" t="s">
        <v>870</v>
      </c>
    </row>
    <row r="32" spans="1:11" x14ac:dyDescent="0.2">
      <c r="A32" s="3" t="s">
        <v>872</v>
      </c>
      <c r="B32" s="3" t="s">
        <v>871</v>
      </c>
      <c r="E32" s="90">
        <f ca="1">ROUND(E$8*E$36/2,0)</f>
        <v>0</v>
      </c>
      <c r="F32" s="90">
        <f ca="1">ROUND(F$8*F$36/2,0)</f>
        <v>0</v>
      </c>
      <c r="G32" s="90">
        <f ca="1">ROUND(G$8*G$36/2,0)</f>
        <v>0</v>
      </c>
      <c r="H32" s="90">
        <f ca="1">ROUND(H$8*H$36/2,0)</f>
        <v>0</v>
      </c>
      <c r="I32" s="90">
        <f ca="1">ROUND(I$8*I$36/2,0)</f>
        <v>0</v>
      </c>
    </row>
    <row r="33" spans="1:9" x14ac:dyDescent="0.2">
      <c r="A33" s="3" t="s">
        <v>872</v>
      </c>
      <c r="B33" s="3" t="s">
        <v>873</v>
      </c>
      <c r="E33" s="90">
        <f ca="1">ROUND(E$8*E$32/2,0)</f>
        <v>0</v>
      </c>
      <c r="F33" s="90">
        <f ca="1">ROUND(F$8*F$32/2,0)</f>
        <v>0</v>
      </c>
      <c r="G33" s="90">
        <f ca="1">ROUND(G$8*G$32/2,0)</f>
        <v>0</v>
      </c>
      <c r="H33" s="90">
        <f ca="1">ROUND(H$8*H$32/2,0)</f>
        <v>0</v>
      </c>
      <c r="I33" s="90">
        <f ca="1">ROUND(I$8*I$32/2,0)</f>
        <v>0</v>
      </c>
    </row>
    <row r="34" spans="1:9" x14ac:dyDescent="0.2">
      <c r="A34" s="3" t="s">
        <v>872</v>
      </c>
      <c r="B34" s="3" t="s">
        <v>874</v>
      </c>
      <c r="E34" s="90">
        <f ca="1">ROUND(E$8*SUM($D$37:D$37),0)</f>
        <v>0</v>
      </c>
      <c r="F34" s="90">
        <f ca="1">ROUND(F$8*SUM($D$37:E$37),0)</f>
        <v>0</v>
      </c>
      <c r="G34" s="90">
        <f ca="1">ROUND(G$8*SUM($D$37:F$37),0)</f>
        <v>0</v>
      </c>
      <c r="H34" s="90">
        <f ca="1">ROUND(H$8*SUM($D$37:G$37),0)</f>
        <v>0</v>
      </c>
      <c r="I34" s="90">
        <f ca="1">ROUND(I$8*SUM($D$37:H$37),0)</f>
        <v>0</v>
      </c>
    </row>
    <row r="35" spans="1:9" x14ac:dyDescent="0.2">
      <c r="A35" s="5" t="s">
        <v>875</v>
      </c>
      <c r="E35" s="44">
        <f ca="1">SUM(E$32:E$34)</f>
        <v>0</v>
      </c>
      <c r="F35" s="44">
        <f ca="1">SUM(F$32:F$34)</f>
        <v>0</v>
      </c>
      <c r="G35" s="44">
        <f ca="1">SUM(G$32:G$34)</f>
        <v>0</v>
      </c>
      <c r="H35" s="44">
        <f ca="1">SUM(H$32:H$34)</f>
        <v>0</v>
      </c>
      <c r="I35" s="44">
        <f ca="1">SUM(I$32:I$34)</f>
        <v>0</v>
      </c>
    </row>
    <row r="36" spans="1:9" x14ac:dyDescent="0.2">
      <c r="A36" s="3" t="s">
        <v>876</v>
      </c>
      <c r="B36" s="3" t="s">
        <v>877</v>
      </c>
      <c r="E36" s="90">
        <f>SUM(E$28,E$29,-E$15)</f>
        <v>0</v>
      </c>
      <c r="F36" s="90">
        <f>SUM(F$28,F$29,-F$15)</f>
        <v>0</v>
      </c>
      <c r="G36" s="90">
        <f>SUM(G$28,G$29,-G$15)</f>
        <v>0</v>
      </c>
      <c r="H36" s="90">
        <f>SUM(H$28,H$29,-H$15)</f>
        <v>0</v>
      </c>
      <c r="I36" s="90">
        <f>SUM(I$28,I$29,-I$15)</f>
        <v>0</v>
      </c>
    </row>
    <row r="37" spans="1:9" x14ac:dyDescent="0.2">
      <c r="A37" s="3" t="s">
        <v>876</v>
      </c>
      <c r="B37" s="3" t="s">
        <v>878</v>
      </c>
      <c r="E37" s="90">
        <f ca="1">SUM(E$36,E$35)</f>
        <v>0</v>
      </c>
      <c r="F37" s="90">
        <f ca="1">SUM(F$36,F$32:F$34)</f>
        <v>0</v>
      </c>
      <c r="G37" s="90">
        <f ca="1">SUM(G$36,G$32:G$34)</f>
        <v>0</v>
      </c>
      <c r="H37" s="90">
        <f ca="1">SUM(H$36,H$32:H$34)</f>
        <v>0</v>
      </c>
      <c r="I37" s="90">
        <f ca="1">SUM(I$36,I$32:I$34)</f>
        <v>0</v>
      </c>
    </row>
    <row r="38" spans="1:9" x14ac:dyDescent="0.2">
      <c r="A38" s="5" t="s">
        <v>879</v>
      </c>
      <c r="E38" s="44">
        <f ca="1">SUM($E$37:E$37)</f>
        <v>0</v>
      </c>
      <c r="F38" s="44">
        <f ca="1">SUM($E$37:F$37)</f>
        <v>0</v>
      </c>
      <c r="G38" s="44">
        <f ca="1">SUM($E$37:G$37)</f>
        <v>0</v>
      </c>
      <c r="H38" s="44">
        <f ca="1">SUM($E$37:H$37)</f>
        <v>0</v>
      </c>
      <c r="I38" s="44">
        <f ca="1">SUM($E$37:I$37)</f>
        <v>0</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60"/>
  <sheetViews>
    <sheetView workbookViewId="0">
      <pane xSplit="1" ySplit="7" topLeftCell="B8" activePane="bottomRight" state="frozen"/>
      <selection pane="topRight" activeCell="B1" sqref="B1"/>
      <selection pane="bottomLeft" activeCell="A8" sqref="A8"/>
      <selection pane="bottomRight" activeCell="D50" sqref="D50"/>
    </sheetView>
  </sheetViews>
  <sheetFormatPr defaultColWidth="8.7109375" defaultRowHeight="12.75" x14ac:dyDescent="0.2"/>
  <cols>
    <col min="1" max="1" width="50.5703125" style="3" customWidth="1"/>
    <col min="2" max="2" width="5.5703125" style="3" customWidth="1"/>
    <col min="3" max="4" width="16.85546875" style="3" customWidth="1"/>
    <col min="5" max="16384" width="8.7109375" style="3"/>
  </cols>
  <sheetData>
    <row r="1" spans="1:13" ht="15.75" x14ac:dyDescent="0.25">
      <c r="A1" s="1" t="s">
        <v>188</v>
      </c>
      <c r="B1" s="1"/>
    </row>
    <row r="2" spans="1:13" x14ac:dyDescent="0.2">
      <c r="A2" s="4" t="s">
        <v>195</v>
      </c>
      <c r="B2" s="4"/>
    </row>
    <row r="3" spans="1:13" x14ac:dyDescent="0.2">
      <c r="A3" s="4" t="s">
        <v>371</v>
      </c>
      <c r="B3" s="4"/>
    </row>
    <row r="4" spans="1:13" x14ac:dyDescent="0.2">
      <c r="A4" s="4"/>
      <c r="B4" s="4"/>
    </row>
    <row r="5" spans="1:13" x14ac:dyDescent="0.2">
      <c r="A5" s="4"/>
      <c r="B5" s="4" t="s">
        <v>373</v>
      </c>
    </row>
    <row r="6" spans="1:13" x14ac:dyDescent="0.2">
      <c r="A6" s="4"/>
      <c r="B6" s="4" t="s">
        <v>372</v>
      </c>
    </row>
    <row r="7" spans="1:13" ht="15.75" x14ac:dyDescent="0.25">
      <c r="A7" s="1" t="s">
        <v>189</v>
      </c>
      <c r="B7" s="1"/>
      <c r="C7" s="7" t="s">
        <v>1183</v>
      </c>
      <c r="D7" s="7" t="s">
        <v>903</v>
      </c>
    </row>
    <row r="8" spans="1:13" x14ac:dyDescent="0.2">
      <c r="A8" s="31" t="s">
        <v>1189</v>
      </c>
      <c r="B8" s="4" t="s">
        <v>1190</v>
      </c>
    </row>
    <row r="9" spans="1:13" x14ac:dyDescent="0.2">
      <c r="B9" s="4" t="s">
        <v>1191</v>
      </c>
    </row>
    <row r="10" spans="1:13" x14ac:dyDescent="0.2">
      <c r="A10" s="32" t="s">
        <v>1192</v>
      </c>
      <c r="C10" s="44">
        <v>2021</v>
      </c>
      <c r="D10" s="44">
        <v>2021</v>
      </c>
    </row>
    <row r="11" spans="1:13" x14ac:dyDescent="0.2">
      <c r="A11" s="31" t="s">
        <v>190</v>
      </c>
      <c r="B11" s="4" t="s">
        <v>194</v>
      </c>
    </row>
    <row r="12" spans="1:13" x14ac:dyDescent="0.2">
      <c r="A12" s="32" t="s">
        <v>191</v>
      </c>
      <c r="B12" s="31"/>
      <c r="C12" s="42">
        <v>1.4999999999999999E-2</v>
      </c>
      <c r="D12" s="42">
        <v>1.4999999999999999E-2</v>
      </c>
    </row>
    <row r="13" spans="1:13" x14ac:dyDescent="0.2">
      <c r="A13" s="32" t="s">
        <v>193</v>
      </c>
      <c r="B13" s="31"/>
      <c r="C13" s="42">
        <v>4.4999999999999998E-2</v>
      </c>
      <c r="D13" s="42">
        <v>4.4999999999999998E-2</v>
      </c>
    </row>
    <row r="14" spans="1:13" x14ac:dyDescent="0.2">
      <c r="A14" s="43" t="s">
        <v>169</v>
      </c>
      <c r="B14" s="31"/>
      <c r="C14" s="55">
        <v>32.35</v>
      </c>
      <c r="D14" s="55">
        <v>32.35</v>
      </c>
    </row>
    <row r="15" spans="1:13" x14ac:dyDescent="0.2">
      <c r="A15" s="3" t="s">
        <v>192</v>
      </c>
      <c r="B15" s="2"/>
      <c r="C15" s="42">
        <v>0.02</v>
      </c>
      <c r="D15" s="42">
        <v>0.02</v>
      </c>
    </row>
    <row r="16" spans="1:13" x14ac:dyDescent="0.2">
      <c r="A16" s="32" t="s">
        <v>168</v>
      </c>
      <c r="B16" s="2"/>
      <c r="C16" s="42">
        <v>5.2999999999999999E-2</v>
      </c>
      <c r="D16" s="42">
        <v>5.2999999999999999E-2</v>
      </c>
      <c r="E16" s="2"/>
      <c r="F16" s="2"/>
      <c r="G16" s="2"/>
      <c r="H16" s="2"/>
      <c r="I16" s="2"/>
      <c r="J16" s="2"/>
      <c r="K16" s="2"/>
      <c r="L16" s="2"/>
      <c r="M16" s="2"/>
    </row>
    <row r="17" spans="1:4" x14ac:dyDescent="0.2">
      <c r="A17" s="2"/>
      <c r="B17" s="4" t="s">
        <v>365</v>
      </c>
    </row>
    <row r="18" spans="1:4" x14ac:dyDescent="0.2">
      <c r="A18" s="2"/>
      <c r="B18" s="4" t="s">
        <v>364</v>
      </c>
    </row>
    <row r="19" spans="1:4" x14ac:dyDescent="0.2">
      <c r="A19" s="2"/>
      <c r="B19" s="4" t="s">
        <v>370</v>
      </c>
    </row>
    <row r="20" spans="1:4" x14ac:dyDescent="0.2">
      <c r="A20" s="32" t="s">
        <v>196</v>
      </c>
      <c r="B20" s="31"/>
      <c r="C20" s="44">
        <v>2020</v>
      </c>
      <c r="D20" s="44">
        <v>2020</v>
      </c>
    </row>
    <row r="21" spans="1:4" x14ac:dyDescent="0.2">
      <c r="A21" s="32" t="s">
        <v>1166</v>
      </c>
      <c r="B21" s="31"/>
      <c r="C21" s="60">
        <v>2.35E-2</v>
      </c>
      <c r="D21" s="60">
        <v>2.35E-2</v>
      </c>
    </row>
    <row r="22" spans="1:4" x14ac:dyDescent="0.2">
      <c r="A22" s="32"/>
      <c r="B22" s="4" t="s">
        <v>367</v>
      </c>
      <c r="C22" s="44"/>
      <c r="D22" s="44"/>
    </row>
    <row r="23" spans="1:4" x14ac:dyDescent="0.2">
      <c r="A23" s="32"/>
      <c r="B23" s="4" t="s">
        <v>366</v>
      </c>
      <c r="C23" s="44"/>
      <c r="D23" s="44"/>
    </row>
    <row r="24" spans="1:4" x14ac:dyDescent="0.2">
      <c r="A24" s="32" t="s">
        <v>197</v>
      </c>
      <c r="B24" s="31"/>
      <c r="C24" s="60">
        <v>1E-3</v>
      </c>
      <c r="D24" s="60">
        <v>1E-3</v>
      </c>
    </row>
    <row r="25" spans="1:4" x14ac:dyDescent="0.2">
      <c r="A25" s="43" t="s">
        <v>198</v>
      </c>
      <c r="B25" s="33"/>
      <c r="C25" s="55">
        <v>0.05</v>
      </c>
      <c r="D25" s="55">
        <v>0.05</v>
      </c>
    </row>
    <row r="26" spans="1:4" x14ac:dyDescent="0.2">
      <c r="A26" s="3" t="s">
        <v>199</v>
      </c>
      <c r="B26" s="31"/>
      <c r="C26" s="60">
        <v>2E-3</v>
      </c>
      <c r="D26" s="60">
        <v>2E-3</v>
      </c>
    </row>
    <row r="27" spans="1:4" x14ac:dyDescent="0.2">
      <c r="A27" s="32" t="s">
        <v>200</v>
      </c>
      <c r="B27" s="31"/>
      <c r="C27" s="60">
        <v>2E-3</v>
      </c>
      <c r="D27" s="60">
        <v>2E-3</v>
      </c>
    </row>
    <row r="28" spans="1:4" x14ac:dyDescent="0.2">
      <c r="A28" s="32"/>
      <c r="B28" s="4" t="s">
        <v>782</v>
      </c>
      <c r="C28" s="60"/>
      <c r="D28" s="60"/>
    </row>
    <row r="29" spans="1:4" x14ac:dyDescent="0.2">
      <c r="A29" s="3" t="s">
        <v>783</v>
      </c>
      <c r="C29" s="44">
        <v>7</v>
      </c>
      <c r="D29" s="44">
        <v>7</v>
      </c>
    </row>
    <row r="30" spans="1:4" x14ac:dyDescent="0.2">
      <c r="A30" s="31" t="s">
        <v>362</v>
      </c>
      <c r="B30" s="4" t="s">
        <v>368</v>
      </c>
    </row>
    <row r="31" spans="1:4" x14ac:dyDescent="0.2">
      <c r="A31" s="31"/>
      <c r="B31" s="4" t="s">
        <v>369</v>
      </c>
    </row>
    <row r="32" spans="1:4" x14ac:dyDescent="0.2">
      <c r="A32" s="31"/>
      <c r="B32" s="4" t="s">
        <v>375</v>
      </c>
    </row>
    <row r="33" spans="1:4" x14ac:dyDescent="0.2">
      <c r="A33" s="3" t="s">
        <v>363</v>
      </c>
      <c r="C33" s="44">
        <v>2020</v>
      </c>
      <c r="D33" s="44">
        <v>2020</v>
      </c>
    </row>
    <row r="34" spans="1:4" x14ac:dyDescent="0.2">
      <c r="A34" s="3" t="s">
        <v>374</v>
      </c>
      <c r="C34" s="55">
        <v>1.35</v>
      </c>
      <c r="D34" s="55">
        <v>1.35</v>
      </c>
    </row>
    <row r="35" spans="1:4" x14ac:dyDescent="0.2">
      <c r="A35" s="3" t="s">
        <v>376</v>
      </c>
      <c r="C35" s="42">
        <v>0.11</v>
      </c>
      <c r="D35" s="42">
        <v>0.11</v>
      </c>
    </row>
    <row r="36" spans="1:4" x14ac:dyDescent="0.2">
      <c r="A36" s="3" t="s">
        <v>382</v>
      </c>
      <c r="C36" s="42">
        <v>4.2000000000000003E-2</v>
      </c>
      <c r="D36" s="42">
        <v>4.2000000000000003E-2</v>
      </c>
    </row>
    <row r="37" spans="1:4" x14ac:dyDescent="0.2">
      <c r="A37" s="3" t="s">
        <v>385</v>
      </c>
      <c r="C37" s="42">
        <v>7.3999999999999996E-2</v>
      </c>
      <c r="D37" s="42">
        <v>7.3999999999999996E-2</v>
      </c>
    </row>
    <row r="38" spans="1:4" x14ac:dyDescent="0.2">
      <c r="A38" s="3" t="s">
        <v>388</v>
      </c>
      <c r="C38" s="42">
        <v>1.2999999999999999E-2</v>
      </c>
      <c r="D38" s="42">
        <v>1.2999999999999999E-2</v>
      </c>
    </row>
    <row r="39" spans="1:4" x14ac:dyDescent="0.2">
      <c r="A39" s="3" t="s">
        <v>389</v>
      </c>
      <c r="C39" s="42">
        <v>4.3999999999999997E-2</v>
      </c>
      <c r="D39" s="42">
        <v>4.3999999999999997E-2</v>
      </c>
    </row>
    <row r="40" spans="1:4" x14ac:dyDescent="0.2">
      <c r="A40" s="3" t="s">
        <v>390</v>
      </c>
      <c r="C40" s="42">
        <v>-3.0000000000000001E-3</v>
      </c>
      <c r="D40" s="42">
        <v>-3.0000000000000001E-3</v>
      </c>
    </row>
    <row r="41" spans="1:4" x14ac:dyDescent="0.2">
      <c r="A41" s="3" t="s">
        <v>377</v>
      </c>
      <c r="C41" s="60">
        <v>5.0000000000000001E-4</v>
      </c>
      <c r="D41" s="60">
        <v>5.0000000000000001E-4</v>
      </c>
    </row>
    <row r="42" spans="1:4" x14ac:dyDescent="0.2">
      <c r="A42" s="31" t="s">
        <v>439</v>
      </c>
      <c r="B42" s="4" t="s">
        <v>440</v>
      </c>
    </row>
    <row r="43" spans="1:4" x14ac:dyDescent="0.2">
      <c r="B43" s="4" t="s">
        <v>443</v>
      </c>
    </row>
    <row r="44" spans="1:4" x14ac:dyDescent="0.2">
      <c r="A44" s="3" t="s">
        <v>441</v>
      </c>
      <c r="C44" s="42">
        <v>0.65</v>
      </c>
      <c r="D44" s="42">
        <v>0.65</v>
      </c>
    </row>
    <row r="45" spans="1:4" x14ac:dyDescent="0.2">
      <c r="A45" s="3" t="s">
        <v>442</v>
      </c>
      <c r="C45" s="42">
        <v>0.72499999999999998</v>
      </c>
      <c r="D45" s="42">
        <v>0.72499999999999998</v>
      </c>
    </row>
    <row r="46" spans="1:4" x14ac:dyDescent="0.2">
      <c r="A46" s="31" t="s">
        <v>843</v>
      </c>
      <c r="B46" s="4" t="s">
        <v>844</v>
      </c>
      <c r="C46" s="42"/>
      <c r="D46" s="42"/>
    </row>
    <row r="47" spans="1:4" x14ac:dyDescent="0.2">
      <c r="A47" s="31"/>
      <c r="B47" s="4" t="s">
        <v>845</v>
      </c>
      <c r="C47" s="42"/>
      <c r="D47" s="42"/>
    </row>
    <row r="48" spans="1:4" x14ac:dyDescent="0.2">
      <c r="A48" s="32" t="s">
        <v>846</v>
      </c>
      <c r="C48" s="44">
        <v>2020</v>
      </c>
      <c r="D48" s="44">
        <v>2020</v>
      </c>
    </row>
    <row r="49" spans="1:4" x14ac:dyDescent="0.2">
      <c r="A49" s="31" t="s">
        <v>492</v>
      </c>
      <c r="B49" s="4" t="s">
        <v>494</v>
      </c>
    </row>
    <row r="50" spans="1:4" x14ac:dyDescent="0.2">
      <c r="A50" s="3" t="s">
        <v>493</v>
      </c>
      <c r="C50" s="13">
        <f>ROUND(1.5*1.02^2,3)</f>
        <v>1.5609999999999999</v>
      </c>
      <c r="D50" s="13">
        <f>ROUND(1.5*1.02^2,3)</f>
        <v>1.5609999999999999</v>
      </c>
    </row>
    <row r="51" spans="1:4" x14ac:dyDescent="0.2">
      <c r="B51" s="4" t="s">
        <v>496</v>
      </c>
    </row>
    <row r="52" spans="1:4" x14ac:dyDescent="0.2">
      <c r="A52" s="3" t="s">
        <v>495</v>
      </c>
      <c r="C52" s="42">
        <v>0.02</v>
      </c>
      <c r="D52" s="42">
        <v>0.02</v>
      </c>
    </row>
    <row r="53" spans="1:4" x14ac:dyDescent="0.2">
      <c r="A53" s="31" t="s">
        <v>567</v>
      </c>
      <c r="B53" s="4" t="s">
        <v>568</v>
      </c>
    </row>
    <row r="54" spans="1:4" x14ac:dyDescent="0.2">
      <c r="A54" s="3" t="s">
        <v>570</v>
      </c>
      <c r="C54" s="13">
        <f>ROUND(0.9*1.02^4,3)</f>
        <v>0.97399999999999998</v>
      </c>
      <c r="D54" s="13">
        <f>ROUND(0.9*1.02^4,3)</f>
        <v>0.97399999999999998</v>
      </c>
    </row>
    <row r="55" spans="1:4" x14ac:dyDescent="0.2">
      <c r="B55" s="4" t="s">
        <v>569</v>
      </c>
    </row>
    <row r="56" spans="1:4" x14ac:dyDescent="0.2">
      <c r="A56" s="3" t="s">
        <v>571</v>
      </c>
      <c r="C56" s="42">
        <v>0.02</v>
      </c>
      <c r="D56" s="42">
        <v>0.02</v>
      </c>
    </row>
    <row r="57" spans="1:4" x14ac:dyDescent="0.2">
      <c r="A57" s="31" t="s">
        <v>755</v>
      </c>
      <c r="B57" s="4" t="s">
        <v>1194</v>
      </c>
    </row>
    <row r="58" spans="1:4" x14ac:dyDescent="0.2">
      <c r="A58" s="31" t="s">
        <v>754</v>
      </c>
      <c r="B58" s="4" t="s">
        <v>1195</v>
      </c>
    </row>
    <row r="59" spans="1:4" x14ac:dyDescent="0.2">
      <c r="A59" s="3" t="s">
        <v>1196</v>
      </c>
      <c r="B59" s="4"/>
      <c r="C59" s="44">
        <v>3</v>
      </c>
      <c r="D59" s="44">
        <v>3</v>
      </c>
    </row>
    <row r="60" spans="1:4" x14ac:dyDescent="0.2">
      <c r="A60" s="3" t="s">
        <v>1197</v>
      </c>
      <c r="B60" s="4"/>
      <c r="C60" s="44">
        <v>5</v>
      </c>
      <c r="D60" s="44">
        <v>5</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500"/>
  <sheetViews>
    <sheetView tabSelected="1" zoomScale="90" zoomScaleNormal="90" workbookViewId="0">
      <pane xSplit="4" ySplit="6" topLeftCell="R7" activePane="bottomRight" state="frozen"/>
      <selection pane="topRight" activeCell="E1" sqref="E1"/>
      <selection pane="bottomLeft" activeCell="A7" sqref="A7"/>
      <selection pane="bottomRight"/>
    </sheetView>
  </sheetViews>
  <sheetFormatPr defaultColWidth="8.7109375" defaultRowHeight="12.75" x14ac:dyDescent="0.2"/>
  <cols>
    <col min="1" max="1" width="70.5703125" style="3" customWidth="1"/>
    <col min="2" max="2" width="13.5703125" style="3" customWidth="1"/>
    <col min="3" max="4" width="5.5703125" style="3" customWidth="1"/>
    <col min="5" max="5" width="8.7109375" style="3"/>
    <col min="6" max="6" width="8.7109375" style="3" customWidth="1"/>
    <col min="7" max="9" width="8.7109375" style="3"/>
    <col min="10" max="10" width="8.7109375" style="3" customWidth="1"/>
    <col min="11" max="16" width="8.7109375" style="3"/>
    <col min="17" max="19" width="8.7109375" style="3" customWidth="1"/>
    <col min="20" max="16384" width="8.7109375" style="3"/>
  </cols>
  <sheetData>
    <row r="1" spans="1:29" ht="15.75" x14ac:dyDescent="0.25">
      <c r="A1" s="1" t="s">
        <v>201</v>
      </c>
      <c r="B1" s="2" t="s">
        <v>1183</v>
      </c>
      <c r="C1" s="7">
        <f>MATCH($B$1,Choices!$C$7:$W$7,0)</f>
        <v>1</v>
      </c>
      <c r="D1" s="4"/>
      <c r="E1" s="3" t="s">
        <v>1188</v>
      </c>
      <c r="O1" s="3" t="s">
        <v>1193</v>
      </c>
      <c r="S1" s="26"/>
      <c r="T1" s="26">
        <f ca="1">MAX(OFFSET(Choices!$B$10,0,$C$1)+OFFSET(Choices!$B$60,0,$C$1)-T$4,0)/(OFFSET(Choices!$B$60,0,$C$1)*(OFFSET(Choices!$B$60,0,$C$1)+1)/2)</f>
        <v>0.33333333333333331</v>
      </c>
      <c r="U1" s="26">
        <f ca="1">MAX(OFFSET(Choices!$B$10,0,$C$1)+OFFSET(Choices!$B$60,0,$C$1)-U$4,0)/(OFFSET(Choices!$B$60,0,$C$1)*(OFFSET(Choices!$B$60,0,$C$1)+1)/2)</f>
        <v>0.26666666666666666</v>
      </c>
      <c r="V1" s="26">
        <f ca="1">MAX(OFFSET(Choices!$B$10,0,$C$1)+OFFSET(Choices!$B$60,0,$C$1)-V$4,0)/(OFFSET(Choices!$B$60,0,$C$1)*(OFFSET(Choices!$B$60,0,$C$1)+1)/2)</f>
        <v>0.2</v>
      </c>
      <c r="W1" s="26">
        <f ca="1">MAX(OFFSET(Choices!$B$10,0,$C$1)+OFFSET(Choices!$B$60,0,$C$1)-W$4,0)/(OFFSET(Choices!$B$60,0,$C$1)*(OFFSET(Choices!$B$60,0,$C$1)+1)/2)</f>
        <v>0.13333333333333333</v>
      </c>
      <c r="X1" s="26">
        <f ca="1">MAX(OFFSET(Choices!$B$10,0,$C$1)+OFFSET(Choices!$B$60,0,$C$1)-X$4,0)/(OFFSET(Choices!$B$60,0,$C$1)*(OFFSET(Choices!$B$60,0,$C$1)+1)/2)</f>
        <v>6.6666666666666666E-2</v>
      </c>
      <c r="Y1" s="26">
        <f ca="1">MAX(OFFSET(Choices!$B$10,0,$C$1)+OFFSET(Choices!$B$60,0,$C$1)-Y$4,0)/(OFFSET(Choices!$B$60,0,$C$1)*(OFFSET(Choices!$B$60,0,$C$1)+1)/2)</f>
        <v>0</v>
      </c>
      <c r="Z1" s="26">
        <f ca="1">MAX(OFFSET(Choices!$B$10,0,$C$1)+OFFSET(Choices!$B$60,0,$C$1)-Z$4,0)/(OFFSET(Choices!$B$60,0,$C$1)*(OFFSET(Choices!$B$60,0,$C$1)+1)/2)</f>
        <v>0</v>
      </c>
      <c r="AA1" s="26">
        <f ca="1">MAX(OFFSET(Choices!$B$10,0,$C$1)+OFFSET(Choices!$B$60,0,$C$1)-AA$4,0)/(OFFSET(Choices!$B$60,0,$C$1)*(OFFSET(Choices!$B$60,0,$C$1)+1)/2)</f>
        <v>0</v>
      </c>
      <c r="AB1" s="26">
        <f ca="1">MAX(OFFSET(Choices!$B$10,0,$C$1)+OFFSET(Choices!$B$60,0,$C$1)-AB$4,0)/(OFFSET(Choices!$B$60,0,$C$1)*(OFFSET(Choices!$B$60,0,$C$1)+1)/2)</f>
        <v>0</v>
      </c>
      <c r="AC1" s="26">
        <f ca="1">MAX(OFFSET(Choices!$B$10,0,$C$1)+OFFSET(Choices!$B$60,0,$C$1)-AC$4,0)/(OFFSET(Choices!$B$60,0,$C$1)*(OFFSET(Choices!$B$60,0,$C$1)+1)/2)</f>
        <v>0</v>
      </c>
    </row>
    <row r="2" spans="1:29" x14ac:dyDescent="0.2">
      <c r="A2" s="4" t="s">
        <v>165</v>
      </c>
      <c r="L2" s="4" t="s">
        <v>381</v>
      </c>
    </row>
    <row r="3" spans="1:29" x14ac:dyDescent="0.2">
      <c r="A3" s="45" t="s">
        <v>202</v>
      </c>
      <c r="E3" s="46" t="s">
        <v>42</v>
      </c>
      <c r="F3" s="46" t="s">
        <v>43</v>
      </c>
      <c r="G3" s="46" t="s">
        <v>44</v>
      </c>
      <c r="H3" s="46" t="s">
        <v>45</v>
      </c>
      <c r="I3" s="46" t="s">
        <v>46</v>
      </c>
      <c r="J3" s="46" t="s">
        <v>47</v>
      </c>
      <c r="K3" s="46" t="s">
        <v>48</v>
      </c>
      <c r="L3" s="46" t="s">
        <v>49</v>
      </c>
      <c r="M3" s="46" t="s">
        <v>50</v>
      </c>
      <c r="N3" s="46" t="s">
        <v>51</v>
      </c>
      <c r="O3" s="48" t="s">
        <v>52</v>
      </c>
      <c r="P3" s="48" t="s">
        <v>53</v>
      </c>
      <c r="Q3" s="48" t="s">
        <v>54</v>
      </c>
      <c r="R3" s="48" t="s">
        <v>55</v>
      </c>
      <c r="S3" s="48" t="s">
        <v>56</v>
      </c>
      <c r="T3" s="8" t="s">
        <v>57</v>
      </c>
      <c r="U3" s="8" t="s">
        <v>58</v>
      </c>
      <c r="V3" s="8" t="s">
        <v>59</v>
      </c>
      <c r="W3" s="8" t="s">
        <v>60</v>
      </c>
      <c r="X3" s="8" t="s">
        <v>61</v>
      </c>
      <c r="Y3" s="8" t="s">
        <v>62</v>
      </c>
      <c r="Z3" s="8" t="s">
        <v>63</v>
      </c>
      <c r="AA3" s="8" t="s">
        <v>64</v>
      </c>
      <c r="AB3" s="8" t="s">
        <v>65</v>
      </c>
      <c r="AC3" s="8" t="s">
        <v>66</v>
      </c>
    </row>
    <row r="4" spans="1:29" x14ac:dyDescent="0.2">
      <c r="A4" s="82" t="s">
        <v>789</v>
      </c>
      <c r="E4" s="47">
        <v>2006</v>
      </c>
      <c r="F4" s="47">
        <v>2007</v>
      </c>
      <c r="G4" s="47">
        <v>2008</v>
      </c>
      <c r="H4" s="47">
        <v>2009</v>
      </c>
      <c r="I4" s="47">
        <v>2010</v>
      </c>
      <c r="J4" s="47">
        <v>2011</v>
      </c>
      <c r="K4" s="47">
        <v>2012</v>
      </c>
      <c r="L4" s="47">
        <v>2013</v>
      </c>
      <c r="M4" s="47">
        <v>2014</v>
      </c>
      <c r="N4" s="47">
        <v>2015</v>
      </c>
      <c r="O4" s="49">
        <v>2016</v>
      </c>
      <c r="P4" s="49">
        <v>2017</v>
      </c>
      <c r="Q4" s="49">
        <v>2018</v>
      </c>
      <c r="R4" s="49">
        <v>2019</v>
      </c>
      <c r="S4" s="49">
        <v>2020</v>
      </c>
      <c r="T4" s="7">
        <v>2021</v>
      </c>
      <c r="U4" s="7">
        <v>2022</v>
      </c>
      <c r="V4" s="7">
        <v>2023</v>
      </c>
      <c r="W4" s="7">
        <v>2024</v>
      </c>
      <c r="X4" s="7">
        <v>2025</v>
      </c>
      <c r="Y4" s="7">
        <v>2026</v>
      </c>
      <c r="Z4" s="7">
        <v>2027</v>
      </c>
      <c r="AA4" s="7">
        <v>2028</v>
      </c>
      <c r="AB4" s="7">
        <v>2029</v>
      </c>
      <c r="AC4" s="7">
        <v>2030</v>
      </c>
    </row>
    <row r="5" spans="1:29" ht="15" customHeight="1" x14ac:dyDescent="0.2">
      <c r="A5" s="82"/>
      <c r="E5" s="13"/>
      <c r="F5" s="62">
        <f ca="1">OFFSET(F$1,Display!$C$1-1,0)</f>
        <v>13.196000000000002</v>
      </c>
      <c r="G5" s="62">
        <f ca="1">OFFSET(G$1,Display!$C$1-1,0)</f>
        <v>10.257999999999996</v>
      </c>
      <c r="H5" s="62">
        <f ca="1">OFFSET(H$1,Display!$C$1-1,0)</f>
        <v>17.119</v>
      </c>
      <c r="I5" s="62">
        <f ca="1">OFFSET(I$1,Display!$C$1-1,0)</f>
        <v>26.737999999999996</v>
      </c>
      <c r="J5" s="62">
        <f ca="1">OFFSET(J$1,Display!$C$1-1,0)</f>
        <v>40.128</v>
      </c>
      <c r="K5" s="62">
        <f ca="1">OFFSET(K$1,Display!$C$1-1,0)</f>
        <v>50.671000000000006</v>
      </c>
      <c r="L5" s="62">
        <f ca="1">OFFSET(L$1,Display!$C$1-1,0)</f>
        <v>55.834999999999994</v>
      </c>
      <c r="M5" s="62">
        <f ca="1">OFFSET(M$1,Display!$C$1-1,0)</f>
        <v>59.931000000000012</v>
      </c>
      <c r="N5" s="62">
        <f ca="1">OFFSET(N$1,Display!$C$1-1,0)</f>
        <v>60.631000000000007</v>
      </c>
      <c r="O5" s="70">
        <f ca="1">OFFSET(O$1,Display!$C$1-1,0)</f>
        <v>65.89</v>
      </c>
      <c r="P5" s="70">
        <f ca="1">OFFSET(P$1,Display!$C$1-1,0)</f>
        <v>70.69</v>
      </c>
      <c r="Q5" s="70">
        <f ca="1">OFFSET(Q$1,Display!$C$1-1,0)</f>
        <v>73.420999999999992</v>
      </c>
      <c r="R5" s="70">
        <f ca="1">OFFSET(R$1,Display!$C$1-1,0)</f>
        <v>72.825000000000003</v>
      </c>
      <c r="S5" s="70">
        <f ca="1">OFFSET(S$1,Display!$C$1-1,0)</f>
        <v>71.11</v>
      </c>
      <c r="T5" s="63">
        <f ca="1">OFFSET(T$1,Display!$C$1-1,0)</f>
        <v>67.743878365210165</v>
      </c>
      <c r="U5" s="63">
        <f ca="1">OFFSET(U$1,Display!$C$1-1,0)</f>
        <v>63.168595626544764</v>
      </c>
      <c r="V5" s="63">
        <f ca="1">OFFSET(V$1,Display!$C$1-1,0)</f>
        <v>60.160670836867169</v>
      </c>
      <c r="W5" s="63">
        <f ca="1">OFFSET(W$1,Display!$C$1-1,0)</f>
        <v>55.840430734474097</v>
      </c>
      <c r="X5" s="63">
        <f ca="1">OFFSET(X$1,Display!$C$1-1,0)</f>
        <v>50.294249319316961</v>
      </c>
      <c r="Y5" s="63">
        <f ca="1">OFFSET(Y$1,Display!$C$1-1,0)</f>
        <v>43.360392778884211</v>
      </c>
      <c r="Z5" s="63">
        <f ca="1">OFFSET(Z$1,Display!$C$1-1,0)</f>
        <v>34.907027201363533</v>
      </c>
      <c r="AA5" s="63">
        <f ca="1">OFFSET(AA$1,Display!$C$1-1,0)</f>
        <v>24.668964428222708</v>
      </c>
      <c r="AB5" s="63">
        <f ca="1">OFFSET(AB$1,Display!$C$1-1,0)</f>
        <v>12.507803453894795</v>
      </c>
      <c r="AC5" s="63">
        <f ca="1">OFFSET(AC$1,Display!$C$1-1,0)</f>
        <v>-1.7446190372969284</v>
      </c>
    </row>
    <row r="6" spans="1:29" x14ac:dyDescent="0.2">
      <c r="A6" s="84" t="str">
        <f ca="1">CONCATENATE(OFFSET($A$1,Display!$C$1-1,0)," as % of nominal GDP")</f>
        <v>Net core Crown debt excluding NZSF financial assets and advances as % of nominal GDP</v>
      </c>
      <c r="B6" s="2"/>
      <c r="F6" s="19">
        <f ca="1">F$5/F$11</f>
        <v>7.5419936330850965E-2</v>
      </c>
      <c r="G6" s="19">
        <f t="shared" ref="G6:AC6" ca="1" si="0">G$5/G$11</f>
        <v>5.4532792506392612E-2</v>
      </c>
      <c r="H6" s="19">
        <f t="shared" ca="1" si="0"/>
        <v>9.1304255069495563E-2</v>
      </c>
      <c r="I6" s="19">
        <f t="shared" ca="1" si="0"/>
        <v>0.13683585633719203</v>
      </c>
      <c r="J6" s="19">
        <f t="shared" ca="1" si="0"/>
        <v>0.19693467410668275</v>
      </c>
      <c r="K6" s="19">
        <f t="shared" ca="1" si="0"/>
        <v>0.23864717462769519</v>
      </c>
      <c r="L6" s="19">
        <f t="shared" ca="1" si="0"/>
        <v>0.25777693650104799</v>
      </c>
      <c r="M6" s="19">
        <f t="shared" ca="1" si="0"/>
        <v>0.25615479304508393</v>
      </c>
      <c r="N6" s="19">
        <f t="shared" ca="1" si="0"/>
        <v>0.25200859550024735</v>
      </c>
      <c r="O6" s="17">
        <f t="shared" ca="1" si="0"/>
        <v>0.26902332569828069</v>
      </c>
      <c r="P6" s="17">
        <f t="shared" ca="1" si="0"/>
        <v>0.27724612898671225</v>
      </c>
      <c r="Q6" s="17">
        <f t="shared" ca="1" si="0"/>
        <v>0.27069346281610274</v>
      </c>
      <c r="R6" s="17">
        <f t="shared" ca="1" si="0"/>
        <v>0.25563933528507338</v>
      </c>
      <c r="S6" s="17">
        <f t="shared" ca="1" si="0"/>
        <v>0.23999325008437394</v>
      </c>
      <c r="T6" s="15">
        <f t="shared" ca="1" si="0"/>
        <v>0.21891034262315914</v>
      </c>
      <c r="U6" s="15">
        <f t="shared" ca="1" si="0"/>
        <v>0.19546069832157503</v>
      </c>
      <c r="V6" s="15">
        <f t="shared" ca="1" si="0"/>
        <v>0.17815587480518502</v>
      </c>
      <c r="W6" s="15">
        <f t="shared" ca="1" si="0"/>
        <v>0.15830817023343563</v>
      </c>
      <c r="X6" s="15">
        <f t="shared" ca="1" si="0"/>
        <v>0.1365207994454537</v>
      </c>
      <c r="Y6" s="15">
        <f t="shared" ca="1" si="0"/>
        <v>0.11274918364824009</v>
      </c>
      <c r="Z6" s="15">
        <f t="shared" ca="1" si="0"/>
        <v>8.7001885378790736E-2</v>
      </c>
      <c r="AA6" s="15">
        <f t="shared" ca="1" si="0"/>
        <v>5.8966661305456046E-2</v>
      </c>
      <c r="AB6" s="15">
        <f t="shared" ca="1" si="0"/>
        <v>2.8693773295494083E-2</v>
      </c>
      <c r="AC6" s="15">
        <f t="shared" ca="1" si="0"/>
        <v>-3.8430331791358867E-3</v>
      </c>
    </row>
    <row r="7" spans="1:29" ht="15.75" x14ac:dyDescent="0.25">
      <c r="A7" s="1" t="s">
        <v>203</v>
      </c>
      <c r="F7" s="26"/>
      <c r="G7" s="26"/>
      <c r="H7" s="26"/>
      <c r="I7" s="26"/>
      <c r="J7" s="26"/>
      <c r="K7" s="26"/>
      <c r="L7" s="26"/>
      <c r="M7" s="26"/>
      <c r="N7" s="26"/>
      <c r="O7" s="26"/>
      <c r="P7" s="26"/>
      <c r="Q7" s="26"/>
      <c r="R7" s="26"/>
      <c r="S7" s="26"/>
      <c r="T7" s="26"/>
      <c r="U7" s="26"/>
      <c r="V7" s="26"/>
      <c r="W7" s="26"/>
      <c r="X7" s="26"/>
      <c r="Y7" s="26"/>
      <c r="Z7" s="26"/>
      <c r="AA7" s="26"/>
      <c r="AB7" s="26"/>
    </row>
    <row r="8" spans="1:29" x14ac:dyDescent="0.2">
      <c r="A8" s="5" t="s">
        <v>204</v>
      </c>
    </row>
    <row r="9" spans="1:29" x14ac:dyDescent="0.2">
      <c r="A9" s="31" t="s">
        <v>1149</v>
      </c>
      <c r="B9" s="4" t="s">
        <v>209</v>
      </c>
      <c r="F9" s="21">
        <f>'Economic Forecasts'!F$6</f>
        <v>192.51</v>
      </c>
      <c r="G9" s="21">
        <f>'Economic Forecasts'!G$6</f>
        <v>196.36500000000001</v>
      </c>
      <c r="H9" s="21">
        <f>'Economic Forecasts'!H$6</f>
        <v>192.47</v>
      </c>
      <c r="I9" s="21">
        <f>'Economic Forecasts'!I$6</f>
        <v>194.09700000000001</v>
      </c>
      <c r="J9" s="21">
        <f>'Economic Forecasts'!J$6</f>
        <v>196.048</v>
      </c>
      <c r="K9" s="21">
        <f>'Economic Forecasts'!K$6</f>
        <v>201.077</v>
      </c>
      <c r="L9" s="21">
        <f>'Economic Forecasts'!L$6</f>
        <v>205.315</v>
      </c>
      <c r="M9" s="21">
        <f>'Economic Forecasts'!M$6</f>
        <v>211.239</v>
      </c>
      <c r="N9" s="21">
        <f>'Economic Forecasts'!N$6</f>
        <v>217.47800000000001</v>
      </c>
      <c r="O9" s="24">
        <f>'Economic Forecasts'!O$6</f>
        <v>222.02699999999999</v>
      </c>
      <c r="P9" s="24">
        <f>'Economic Forecasts'!P$6</f>
        <v>227.78399999999999</v>
      </c>
      <c r="Q9" s="24">
        <f>'Economic Forecasts'!Q$6</f>
        <v>236.31299999999999</v>
      </c>
      <c r="R9" s="24">
        <f>'Economic Forecasts'!R$6</f>
        <v>242.58099999999999</v>
      </c>
      <c r="S9" s="24">
        <f>'Economic Forecasts'!S$6</f>
        <v>247.733</v>
      </c>
      <c r="T9" s="26">
        <f ca="1">S$9*IF(T$4&lt;=OFFSET(Choices!$B$20,0,$C$1),1+OFFSET(Choices!$B$21,0,$C$1),T$15*(1-T$20)*T$23/(S$15*(1-S$20)*S$23)*(1+T$27))</f>
        <v>253.56433362774175</v>
      </c>
      <c r="U9" s="26">
        <f ca="1">T$9*IF(U$4&lt;=OFFSET(Choices!$B$20,0,$C$1),1+OFFSET(Choices!$B$21,0,$C$1),U$15*(1-U$20)*U$23/(T$15*(1-T$20)*T$23)*(1+U$27))</f>
        <v>259.61273571945765</v>
      </c>
      <c r="V9" s="26">
        <f ca="1">U$9*IF(V$4&lt;=OFFSET(Choices!$B$20,0,$C$1),1+OFFSET(Choices!$B$21,0,$C$1),V$15*(1-V$20)*V$23/(U$15*(1-U$20)*U$23)*(1+V$27))</f>
        <v>265.94790192099862</v>
      </c>
      <c r="W9" s="26">
        <f ca="1">V$9*IF(W$4&lt;=OFFSET(Choices!$B$20,0,$C$1),1+OFFSET(Choices!$B$21,0,$C$1),W$15*(1-W$20)*W$23/(V$15*(1-V$20)*V$23)*(1+W$27))</f>
        <v>272.35120735008354</v>
      </c>
      <c r="X9" s="26">
        <f ca="1">W$9*IF(X$4&lt;=OFFSET(Choices!$B$20,0,$C$1),1+OFFSET(Choices!$B$21,0,$C$1),X$15*(1-X$20)*X$23/(W$15*(1-W$20)*W$23)*(1+X$27))</f>
        <v>278.87090771054324</v>
      </c>
      <c r="Y9" s="26">
        <f ca="1">X$9*IF(Y$4&lt;=OFFSET(Choices!$B$20,0,$C$1),1+OFFSET(Choices!$B$21,0,$C$1),Y$15*(1-Y$20)*Y$23/(X$15*(1-X$20)*X$23)*(1+Y$27))</f>
        <v>285.40615348150419</v>
      </c>
      <c r="Z9" s="26">
        <f ca="1">Y$9*IF(Z$4&lt;=OFFSET(Choices!$B$20,0,$C$1),1+OFFSET(Choices!$B$21,0,$C$1),Z$15*(1-Z$20)*Z$23/(Y$15*(1-Y$20)*Y$23)*(1+Z$27))</f>
        <v>291.92249318387201</v>
      </c>
      <c r="AA9" s="26">
        <f ca="1">Z$9*IF(AA$4&lt;=OFFSET(Choices!$B$20,0,$C$1),1+OFFSET(Choices!$B$21,0,$C$1),AA$15*(1-AA$20)*AA$23/(Z$15*(1-Z$20)*Z$23)*(1+AA$27))</f>
        <v>298.41975361411369</v>
      </c>
      <c r="AB9" s="26">
        <f ca="1">AA$9*IF(AB$4&lt;=OFFSET(Choices!$B$20,0,$C$1),1+OFFSET(Choices!$B$21,0,$C$1),AB$15*(1-AB$20)*AB$23/(AA$15*(1-AA$20)*AA$23)*(1+AB$27))</f>
        <v>304.84312228702146</v>
      </c>
      <c r="AC9" s="26">
        <f ca="1">AB$9*IF(AC$4&lt;=OFFSET(Choices!$B$20,0,$C$1),1+OFFSET(Choices!$B$21,0,$C$1),AC$15*(1-AC$20)*AC$23/(AB$15*(1-AB$20)*AB$23)*(1+AC$27))</f>
        <v>311.24996917857379</v>
      </c>
    </row>
    <row r="10" spans="1:29" x14ac:dyDescent="0.2">
      <c r="A10" s="4" t="s">
        <v>205</v>
      </c>
      <c r="G10" s="52">
        <f>G9/F9-1</f>
        <v>2.0024933769674291E-2</v>
      </c>
      <c r="H10" s="52">
        <f t="shared" ref="H10:AC10" si="1">H9/G9-1</f>
        <v>-1.9835510401548184E-2</v>
      </c>
      <c r="I10" s="52">
        <f t="shared" si="1"/>
        <v>8.4532654439652966E-3</v>
      </c>
      <c r="J10" s="52">
        <f t="shared" si="1"/>
        <v>1.0051675193331056E-2</v>
      </c>
      <c r="K10" s="52">
        <f t="shared" si="1"/>
        <v>2.5651881171957935E-2</v>
      </c>
      <c r="L10" s="52">
        <f t="shared" si="1"/>
        <v>2.107650303117703E-2</v>
      </c>
      <c r="M10" s="52">
        <f t="shared" si="1"/>
        <v>2.8853225531500382E-2</v>
      </c>
      <c r="N10" s="52">
        <f t="shared" si="1"/>
        <v>2.9535265741648109E-2</v>
      </c>
      <c r="O10" s="51">
        <f t="shared" si="1"/>
        <v>2.0917058277158951E-2</v>
      </c>
      <c r="P10" s="51">
        <f t="shared" si="1"/>
        <v>2.5929278871488659E-2</v>
      </c>
      <c r="Q10" s="51">
        <f t="shared" si="1"/>
        <v>3.7443367400695315E-2</v>
      </c>
      <c r="R10" s="51">
        <f t="shared" si="1"/>
        <v>2.6524143826196722E-2</v>
      </c>
      <c r="S10" s="51">
        <f t="shared" si="1"/>
        <v>2.1238266805726713E-2</v>
      </c>
      <c r="T10" s="30">
        <f t="shared" ca="1" si="1"/>
        <v>2.35387842061483E-2</v>
      </c>
      <c r="U10" s="30">
        <f t="shared" ca="1" si="1"/>
        <v>2.3853520742375345E-2</v>
      </c>
      <c r="V10" s="30">
        <f t="shared" ca="1" si="1"/>
        <v>2.4402370646357197E-2</v>
      </c>
      <c r="W10" s="30">
        <f t="shared" ca="1" si="1"/>
        <v>2.4077292517942439E-2</v>
      </c>
      <c r="X10" s="30">
        <f t="shared" ca="1" si="1"/>
        <v>2.393857704504021E-2</v>
      </c>
      <c r="Y10" s="30">
        <f t="shared" ca="1" si="1"/>
        <v>2.3434663101338238E-2</v>
      </c>
      <c r="Z10" s="30">
        <f t="shared" ca="1" si="1"/>
        <v>2.2831812218758296E-2</v>
      </c>
      <c r="AA10" s="30">
        <f t="shared" ca="1" si="1"/>
        <v>2.2256799602452304E-2</v>
      </c>
      <c r="AB10" s="30">
        <f t="shared" ca="1" si="1"/>
        <v>2.15246095310897E-2</v>
      </c>
      <c r="AC10" s="30">
        <f t="shared" ca="1" si="1"/>
        <v>2.1016865473251656E-2</v>
      </c>
    </row>
    <row r="11" spans="1:29" x14ac:dyDescent="0.2">
      <c r="A11" s="31" t="s">
        <v>166</v>
      </c>
      <c r="B11" s="4" t="str">
        <f>$B$9</f>
        <v>From Economic Forecasts</v>
      </c>
      <c r="F11" s="21">
        <f>'Economic Forecasts'!F$7</f>
        <v>174.96700000000001</v>
      </c>
      <c r="G11" s="21">
        <f>'Economic Forecasts'!G$7</f>
        <v>188.107</v>
      </c>
      <c r="H11" s="21">
        <f>'Economic Forecasts'!H$7</f>
        <v>187.494</v>
      </c>
      <c r="I11" s="21">
        <f>'Economic Forecasts'!I$7</f>
        <v>195.40199999999999</v>
      </c>
      <c r="J11" s="21">
        <f>'Economic Forecasts'!J$7</f>
        <v>203.76300000000001</v>
      </c>
      <c r="K11" s="21">
        <f>'Economic Forecasts'!K$7</f>
        <v>212.32599999999999</v>
      </c>
      <c r="L11" s="21">
        <f>'Economic Forecasts'!L$7</f>
        <v>216.602</v>
      </c>
      <c r="M11" s="21">
        <f>'Economic Forecasts'!M$7</f>
        <v>233.964</v>
      </c>
      <c r="N11" s="21">
        <f>'Economic Forecasts'!N$7</f>
        <v>240.59100000000001</v>
      </c>
      <c r="O11" s="24">
        <f>'Economic Forecasts'!O$7</f>
        <v>244.923</v>
      </c>
      <c r="P11" s="24">
        <f>'Economic Forecasts'!P$7</f>
        <v>254.97200000000001</v>
      </c>
      <c r="Q11" s="24">
        <f>'Economic Forecasts'!Q$7</f>
        <v>271.233</v>
      </c>
      <c r="R11" s="24">
        <f>'Economic Forecasts'!R$7</f>
        <v>284.87400000000002</v>
      </c>
      <c r="S11" s="24">
        <f>'Economic Forecasts'!S$7</f>
        <v>296.3</v>
      </c>
      <c r="T11" s="26">
        <f t="shared" ref="T11:AC11" ca="1" si="2">S$11*T$9/S$9*(1+T$30)</f>
        <v>309.45946890150884</v>
      </c>
      <c r="U11" s="26">
        <f t="shared" ca="1" si="2"/>
        <v>323.17799009711297</v>
      </c>
      <c r="V11" s="26">
        <f t="shared" ca="1" si="2"/>
        <v>337.68558518013162</v>
      </c>
      <c r="W11" s="26">
        <f t="shared" ca="1" si="2"/>
        <v>352.7324625894783</v>
      </c>
      <c r="X11" s="26">
        <f t="shared" ca="1" si="2"/>
        <v>368.39990333789257</v>
      </c>
      <c r="Y11" s="26">
        <f t="shared" ca="1" si="2"/>
        <v>384.57389557836524</v>
      </c>
      <c r="Z11" s="26">
        <f t="shared" ca="1" si="2"/>
        <v>401.22150283737579</v>
      </c>
      <c r="AA11" s="26">
        <f t="shared" ca="1" si="2"/>
        <v>418.35443761066642</v>
      </c>
      <c r="AB11" s="26">
        <f t="shared" ca="1" si="2"/>
        <v>435.90654059635136</v>
      </c>
      <c r="AC11" s="26">
        <f t="shared" ca="1" si="2"/>
        <v>453.96928831335492</v>
      </c>
    </row>
    <row r="12" spans="1:29" x14ac:dyDescent="0.2">
      <c r="A12" s="4" t="s">
        <v>205</v>
      </c>
      <c r="G12" s="52">
        <f>G11/F11-1</f>
        <v>7.5099875976612607E-2</v>
      </c>
      <c r="H12" s="52">
        <f t="shared" ref="H12:AC12" si="3">H11/G11-1</f>
        <v>-3.2587835646732399E-3</v>
      </c>
      <c r="I12" s="52">
        <f t="shared" si="3"/>
        <v>4.2177349675189602E-2</v>
      </c>
      <c r="J12" s="52">
        <f t="shared" si="3"/>
        <v>4.2788712500383852E-2</v>
      </c>
      <c r="K12" s="52">
        <f t="shared" si="3"/>
        <v>4.2024312559198584E-2</v>
      </c>
      <c r="L12" s="52">
        <f t="shared" si="3"/>
        <v>2.0138843099761772E-2</v>
      </c>
      <c r="M12" s="52">
        <f t="shared" si="3"/>
        <v>8.0156231244402187E-2</v>
      </c>
      <c r="N12" s="52">
        <f t="shared" si="3"/>
        <v>2.8324870492896448E-2</v>
      </c>
      <c r="O12" s="51">
        <f t="shared" si="3"/>
        <v>1.8005661059640632E-2</v>
      </c>
      <c r="P12" s="51">
        <f t="shared" si="3"/>
        <v>4.102922142877552E-2</v>
      </c>
      <c r="Q12" s="51">
        <f t="shared" si="3"/>
        <v>6.37756302652841E-2</v>
      </c>
      <c r="R12" s="51">
        <f t="shared" si="3"/>
        <v>5.0292552897324594E-2</v>
      </c>
      <c r="S12" s="51">
        <f t="shared" si="3"/>
        <v>4.0108960452691411E-2</v>
      </c>
      <c r="T12" s="30">
        <f t="shared" ca="1" si="3"/>
        <v>4.4412652384437479E-2</v>
      </c>
      <c r="U12" s="30">
        <f t="shared" ca="1" si="3"/>
        <v>4.4330591157222932E-2</v>
      </c>
      <c r="V12" s="30">
        <f t="shared" ca="1" si="3"/>
        <v>4.4890418059284398E-2</v>
      </c>
      <c r="W12" s="30">
        <f t="shared" ca="1" si="3"/>
        <v>4.4558838368301101E-2</v>
      </c>
      <c r="X12" s="30">
        <f t="shared" ca="1" si="3"/>
        <v>4.441734858594093E-2</v>
      </c>
      <c r="Y12" s="30">
        <f t="shared" ca="1" si="3"/>
        <v>4.3903356363364843E-2</v>
      </c>
      <c r="Z12" s="30">
        <f t="shared" ca="1" si="3"/>
        <v>4.3288448463133511E-2</v>
      </c>
      <c r="AA12" s="30">
        <f t="shared" ca="1" si="3"/>
        <v>4.2701935594501306E-2</v>
      </c>
      <c r="AB12" s="30">
        <f t="shared" ca="1" si="3"/>
        <v>4.1955101721711463E-2</v>
      </c>
      <c r="AC12" s="30">
        <f t="shared" ca="1" si="3"/>
        <v>4.1437202782716787E-2</v>
      </c>
    </row>
    <row r="13" spans="1:29" x14ac:dyDescent="0.2">
      <c r="A13" s="4" t="s">
        <v>1187</v>
      </c>
      <c r="F13" s="98">
        <f>1/F$11</f>
        <v>5.715363468539781E-3</v>
      </c>
      <c r="G13" s="98">
        <f t="shared" ref="G13:AC13" si="4">1/G$11</f>
        <v>5.3161232702663907E-3</v>
      </c>
      <c r="H13" s="98">
        <f t="shared" si="4"/>
        <v>5.3335040054615082E-3</v>
      </c>
      <c r="I13" s="98">
        <f t="shared" si="4"/>
        <v>5.11765488582512E-3</v>
      </c>
      <c r="J13" s="98">
        <f t="shared" si="4"/>
        <v>4.9076623332008264E-3</v>
      </c>
      <c r="K13" s="98">
        <f t="shared" si="4"/>
        <v>4.709738797886269E-3</v>
      </c>
      <c r="L13" s="98">
        <f t="shared" si="4"/>
        <v>4.6167625414354433E-3</v>
      </c>
      <c r="M13" s="98">
        <f t="shared" si="4"/>
        <v>4.2741618368637912E-3</v>
      </c>
      <c r="N13" s="98">
        <f t="shared" si="4"/>
        <v>4.1564314542106729E-3</v>
      </c>
      <c r="O13" s="99">
        <f t="shared" si="4"/>
        <v>4.0829158551871402E-3</v>
      </c>
      <c r="P13" s="99">
        <f t="shared" si="4"/>
        <v>3.9219992783521328E-3</v>
      </c>
      <c r="Q13" s="99">
        <f t="shared" si="4"/>
        <v>3.6868670110200455E-3</v>
      </c>
      <c r="R13" s="99">
        <f t="shared" si="4"/>
        <v>3.5103238624795523E-3</v>
      </c>
      <c r="S13" s="99">
        <f t="shared" si="4"/>
        <v>3.3749578130273369E-3</v>
      </c>
      <c r="T13" s="100">
        <f t="shared" ca="1" si="4"/>
        <v>3.2314409494390633E-3</v>
      </c>
      <c r="U13" s="100">
        <f t="shared" ca="1" si="4"/>
        <v>3.0942701255723083E-3</v>
      </c>
      <c r="V13" s="100">
        <f t="shared" ca="1" si="4"/>
        <v>2.9613345783373311E-3</v>
      </c>
      <c r="W13" s="100">
        <f t="shared" ca="1" si="4"/>
        <v>2.8350098333983879E-3</v>
      </c>
      <c r="X13" s="100">
        <f t="shared" ca="1" si="4"/>
        <v>2.7144415374148736E-3</v>
      </c>
      <c r="Y13" s="100">
        <f t="shared" ca="1" si="4"/>
        <v>2.6002804961477903E-3</v>
      </c>
      <c r="Z13" s="100">
        <f t="shared" ca="1" si="4"/>
        <v>2.4923888498700995E-3</v>
      </c>
      <c r="AA13" s="100">
        <f t="shared" ca="1" si="4"/>
        <v>2.3903176591391411E-3</v>
      </c>
      <c r="AB13" s="100">
        <f t="shared" ca="1" si="4"/>
        <v>2.2940697302498109E-3</v>
      </c>
      <c r="AC13" s="100">
        <f t="shared" ca="1" si="4"/>
        <v>2.2027921838398555E-3</v>
      </c>
    </row>
    <row r="14" spans="1:29" x14ac:dyDescent="0.2">
      <c r="A14" s="5" t="s">
        <v>206</v>
      </c>
      <c r="G14" s="51"/>
      <c r="H14" s="51"/>
      <c r="I14" s="51"/>
      <c r="J14" s="51"/>
      <c r="K14" s="51"/>
      <c r="L14" s="51"/>
      <c r="M14" s="51"/>
      <c r="N14" s="51"/>
      <c r="O14" s="52"/>
      <c r="P14" s="52"/>
      <c r="Q14" s="52"/>
      <c r="R14" s="52"/>
    </row>
    <row r="15" spans="1:29" x14ac:dyDescent="0.2">
      <c r="A15" s="2" t="s">
        <v>207</v>
      </c>
      <c r="B15" s="4" t="str">
        <f>$B$9</f>
        <v>From Economic Forecasts</v>
      </c>
      <c r="F15" s="21">
        <f>'Economic Forecasts'!F$8</f>
        <v>2.2334999999999998</v>
      </c>
      <c r="G15" s="21">
        <f>'Economic Forecasts'!G$8</f>
        <v>2.2613000000000003</v>
      </c>
      <c r="H15" s="21">
        <f>'Economic Forecasts'!H$8</f>
        <v>2.2865000000000002</v>
      </c>
      <c r="I15" s="21">
        <f>'Economic Forecasts'!I$8</f>
        <v>2.2955000000000001</v>
      </c>
      <c r="J15" s="21">
        <f>'Economic Forecasts'!J$8</f>
        <v>2.3275000000000001</v>
      </c>
      <c r="K15" s="21">
        <f>'Economic Forecasts'!K$8</f>
        <v>2.3490000000000002</v>
      </c>
      <c r="L15" s="21">
        <f>'Economic Forecasts'!L$8</f>
        <v>2.3548</v>
      </c>
      <c r="M15" s="21">
        <f>'Economic Forecasts'!M$8</f>
        <v>2.4123000000000001</v>
      </c>
      <c r="N15" s="21">
        <f>'Economic Forecasts'!N$8</f>
        <v>2.4838</v>
      </c>
      <c r="O15" s="24">
        <f>'Economic Forecasts'!O$8</f>
        <v>2.5174000000000003</v>
      </c>
      <c r="P15" s="24">
        <f>'Economic Forecasts'!P$8</f>
        <v>2.5529000000000002</v>
      </c>
      <c r="Q15" s="24">
        <f>'Economic Forecasts'!Q$8</f>
        <v>2.5861000000000001</v>
      </c>
      <c r="R15" s="24">
        <f>'Economic Forecasts'!R$8</f>
        <v>2.6258000000000004</v>
      </c>
      <c r="S15" s="24">
        <f>'Economic Forecasts'!S$8</f>
        <v>2.6551999999999998</v>
      </c>
      <c r="T15" s="26">
        <f>S$15*LF!T$10/LF!S$10</f>
        <v>2.6805497403830048</v>
      </c>
      <c r="U15" s="26">
        <f>T$15*LF!U$10/LF!T$10</f>
        <v>2.7056029925743954</v>
      </c>
      <c r="V15" s="26">
        <f>U$15*LF!V$10/LF!U$10</f>
        <v>2.7306661277055069</v>
      </c>
      <c r="W15" s="26">
        <f>V$15*LF!W$10/LF!V$10</f>
        <v>2.7550868717547874</v>
      </c>
      <c r="X15" s="26">
        <f>W$15*LF!X$10/LF!W$10</f>
        <v>2.7793494887685406</v>
      </c>
      <c r="Y15" s="26">
        <f>X$15*LF!Y$10/LF!X$10</f>
        <v>2.8024459188952786</v>
      </c>
      <c r="Z15" s="26">
        <f>Y$15*LF!Z$10/LF!Y$10</f>
        <v>2.8240697910036663</v>
      </c>
      <c r="AA15" s="26">
        <f>Z$15*LF!AA$10/LF!Z$10</f>
        <v>2.8442606368525856</v>
      </c>
      <c r="AB15" s="26">
        <f>AA$15*LF!AB$10/LF!AA$10</f>
        <v>2.8625440753354545</v>
      </c>
      <c r="AC15" s="26">
        <f>AB$15*LF!AC$10/LF!AB$10</f>
        <v>2.8795130828355013</v>
      </c>
    </row>
    <row r="16" spans="1:29" x14ac:dyDescent="0.2">
      <c r="A16" s="4" t="s">
        <v>205</v>
      </c>
      <c r="G16" s="52">
        <f>G15/F15-1</f>
        <v>1.2446832325946122E-2</v>
      </c>
      <c r="H16" s="52">
        <f t="shared" ref="H16:AC16" si="5">H15/G15-1</f>
        <v>1.1144032193870723E-2</v>
      </c>
      <c r="I16" s="52">
        <f t="shared" si="5"/>
        <v>3.9361469494860746E-3</v>
      </c>
      <c r="J16" s="52">
        <f t="shared" si="5"/>
        <v>1.3940318013504704E-2</v>
      </c>
      <c r="K16" s="52">
        <f t="shared" si="5"/>
        <v>9.2373791621911394E-3</v>
      </c>
      <c r="L16" s="52">
        <f t="shared" si="5"/>
        <v>2.4691358024691024E-3</v>
      </c>
      <c r="M16" s="52">
        <f t="shared" si="5"/>
        <v>2.4418209614404773E-2</v>
      </c>
      <c r="N16" s="52">
        <f t="shared" si="5"/>
        <v>2.9639762881896958E-2</v>
      </c>
      <c r="O16" s="51">
        <f t="shared" si="5"/>
        <v>1.3527659231822309E-2</v>
      </c>
      <c r="P16" s="51">
        <f t="shared" si="5"/>
        <v>1.4101851116230968E-2</v>
      </c>
      <c r="Q16" s="51">
        <f t="shared" si="5"/>
        <v>1.3004818050060596E-2</v>
      </c>
      <c r="R16" s="51">
        <f t="shared" si="5"/>
        <v>1.5351301187115807E-2</v>
      </c>
      <c r="S16" s="51">
        <f t="shared" si="5"/>
        <v>1.1196587706603589E-2</v>
      </c>
      <c r="T16" s="30">
        <f t="shared" si="5"/>
        <v>9.5472056278265161E-3</v>
      </c>
      <c r="U16" s="30">
        <f t="shared" si="5"/>
        <v>9.3463112487557343E-3</v>
      </c>
      <c r="V16" s="30">
        <f t="shared" si="5"/>
        <v>9.2634193560170441E-3</v>
      </c>
      <c r="W16" s="30">
        <f t="shared" si="5"/>
        <v>8.9431453378741033E-3</v>
      </c>
      <c r="X16" s="30">
        <f t="shared" si="5"/>
        <v>8.8064798473304062E-3</v>
      </c>
      <c r="Y16" s="30">
        <f t="shared" si="5"/>
        <v>8.310012907722264E-3</v>
      </c>
      <c r="Z16" s="30">
        <f t="shared" si="5"/>
        <v>7.7160711514860925E-3</v>
      </c>
      <c r="AA16" s="30">
        <f t="shared" si="5"/>
        <v>7.1495562585737193E-3</v>
      </c>
      <c r="AB16" s="30">
        <f t="shared" si="5"/>
        <v>6.4281867301376749E-3</v>
      </c>
      <c r="AC16" s="30">
        <f t="shared" si="5"/>
        <v>5.9279462790657877E-3</v>
      </c>
    </row>
    <row r="17" spans="1:29" x14ac:dyDescent="0.2">
      <c r="A17" s="2" t="s">
        <v>208</v>
      </c>
      <c r="B17" s="4" t="str">
        <f>$B$9</f>
        <v>From Economic Forecasts</v>
      </c>
      <c r="F17" s="21">
        <f>'Economic Forecasts'!F$9</f>
        <v>3.2725999999999997</v>
      </c>
      <c r="G17" s="21">
        <f>'Economic Forecasts'!G$9</f>
        <v>3.3045999999999998</v>
      </c>
      <c r="H17" s="21">
        <f>'Economic Forecasts'!H$9</f>
        <v>3.3358000000000003</v>
      </c>
      <c r="I17" s="21">
        <f>'Economic Forecasts'!I$9</f>
        <v>3.3767</v>
      </c>
      <c r="J17" s="21">
        <f>'Economic Forecasts'!J$9</f>
        <v>3.4116</v>
      </c>
      <c r="K17" s="21">
        <f>'Economic Forecasts'!K$9</f>
        <v>3.4369999999999998</v>
      </c>
      <c r="L17" s="21">
        <f>'Economic Forecasts'!L$9</f>
        <v>3.4639000000000002</v>
      </c>
      <c r="M17" s="21">
        <f>'Economic Forecasts'!M$9</f>
        <v>3.5129999999999999</v>
      </c>
      <c r="N17" s="21">
        <f>'Economic Forecasts'!N$9</f>
        <v>3.5856999999999997</v>
      </c>
      <c r="O17" s="24">
        <f>'Economic Forecasts'!O$9</f>
        <v>3.6663000000000001</v>
      </c>
      <c r="P17" s="24">
        <f>'Economic Forecasts'!P$9</f>
        <v>3.7277</v>
      </c>
      <c r="Q17" s="24">
        <f>'Economic Forecasts'!Q$9</f>
        <v>3.7693000000000003</v>
      </c>
      <c r="R17" s="24">
        <f>'Economic Forecasts'!R$9</f>
        <v>3.8090000000000002</v>
      </c>
      <c r="S17" s="24">
        <f>'Economic Forecasts'!S$9</f>
        <v>3.8488000000000002</v>
      </c>
      <c r="T17" s="26">
        <f>S$17*LF!T$9/LF!S$9</f>
        <v>3.8879325358851671</v>
      </c>
      <c r="U17" s="26">
        <f>T$17*LF!U$9/LF!T$9</f>
        <v>3.9292879499763842</v>
      </c>
      <c r="V17" s="26">
        <f>U$17*LF!V$9/LF!U$9</f>
        <v>3.9725698585128439</v>
      </c>
      <c r="W17" s="26">
        <f>V$17*LF!W$9/LF!V$9</f>
        <v>4.0149132184734162</v>
      </c>
      <c r="X17" s="26">
        <f>W$17*LF!X$9/LF!W$9</f>
        <v>4.0575826005708757</v>
      </c>
      <c r="Y17" s="26">
        <f>X$17*LF!Y$9/LF!X$9</f>
        <v>4.0979599482514306</v>
      </c>
      <c r="Z17" s="26">
        <f>Y$17*LF!Z$9/LF!Y$9</f>
        <v>4.1366973057888563</v>
      </c>
      <c r="AA17" s="26">
        <f>Z$17*LF!AA$9/LF!Z$9</f>
        <v>4.1735773250918928</v>
      </c>
      <c r="AB17" s="26">
        <f>AA$17*LF!AB$9/LF!AA$9</f>
        <v>4.2080763948497841</v>
      </c>
      <c r="AC17" s="26">
        <f>AB$17*LF!AC$9/LF!AB$9</f>
        <v>4.2409157155471577</v>
      </c>
    </row>
    <row r="18" spans="1:29" x14ac:dyDescent="0.2">
      <c r="A18" s="4" t="s">
        <v>205</v>
      </c>
      <c r="G18" s="52">
        <f>G17/F17-1</f>
        <v>9.7781580394793455E-3</v>
      </c>
      <c r="H18" s="52">
        <f t="shared" ref="H18:AC18" si="6">H17/G17-1</f>
        <v>9.4413847364280823E-3</v>
      </c>
      <c r="I18" s="52">
        <f t="shared" si="6"/>
        <v>1.2260926914083425E-2</v>
      </c>
      <c r="J18" s="52">
        <f t="shared" si="6"/>
        <v>1.0335534693635795E-2</v>
      </c>
      <c r="K18" s="52">
        <f t="shared" si="6"/>
        <v>7.4451870090279648E-3</v>
      </c>
      <c r="L18" s="52">
        <f t="shared" si="6"/>
        <v>7.8265929589760308E-3</v>
      </c>
      <c r="M18" s="52">
        <f t="shared" si="6"/>
        <v>1.4174774098559384E-2</v>
      </c>
      <c r="N18" s="52">
        <f t="shared" si="6"/>
        <v>2.0694563051522952E-2</v>
      </c>
      <c r="O18" s="51">
        <f t="shared" si="6"/>
        <v>2.2478177203893335E-2</v>
      </c>
      <c r="P18" s="51">
        <f t="shared" si="6"/>
        <v>1.6747129258380289E-2</v>
      </c>
      <c r="Q18" s="51">
        <f t="shared" si="6"/>
        <v>1.1159696327494251E-2</v>
      </c>
      <c r="R18" s="51">
        <f t="shared" si="6"/>
        <v>1.0532459607884626E-2</v>
      </c>
      <c r="S18" s="51">
        <f t="shared" si="6"/>
        <v>1.0448936728800318E-2</v>
      </c>
      <c r="T18" s="30">
        <f t="shared" si="6"/>
        <v>1.0167464114832381E-2</v>
      </c>
      <c r="U18" s="30">
        <f t="shared" si="6"/>
        <v>1.0636865148639041E-2</v>
      </c>
      <c r="V18" s="30">
        <f t="shared" si="6"/>
        <v>1.101520404904921E-2</v>
      </c>
      <c r="W18" s="30">
        <f t="shared" si="6"/>
        <v>1.0658934007122367E-2</v>
      </c>
      <c r="X18" s="30">
        <f t="shared" si="6"/>
        <v>1.0627722138832008E-2</v>
      </c>
      <c r="Y18" s="30">
        <f t="shared" si="6"/>
        <v>9.9510845878711951E-3</v>
      </c>
      <c r="Z18" s="30">
        <f t="shared" si="6"/>
        <v>9.4528394680759575E-3</v>
      </c>
      <c r="AA18" s="30">
        <f t="shared" si="6"/>
        <v>8.9153294468578004E-3</v>
      </c>
      <c r="AB18" s="30">
        <f t="shared" si="6"/>
        <v>8.2660669901766237E-3</v>
      </c>
      <c r="AC18" s="30">
        <f t="shared" si="6"/>
        <v>7.8038794014207991E-3</v>
      </c>
    </row>
    <row r="19" spans="1:29" x14ac:dyDescent="0.2">
      <c r="A19" s="2" t="s">
        <v>210</v>
      </c>
      <c r="F19" s="52">
        <f>F$15/F$17</f>
        <v>0.68248487441178263</v>
      </c>
      <c r="G19" s="52">
        <f t="shared" ref="G19:AC19" si="7">G$15/G$17</f>
        <v>0.68428856745143152</v>
      </c>
      <c r="H19" s="52">
        <f t="shared" si="7"/>
        <v>0.68544277234846218</v>
      </c>
      <c r="I19" s="52">
        <f t="shared" si="7"/>
        <v>0.67980572748541479</v>
      </c>
      <c r="J19" s="52">
        <f t="shared" si="7"/>
        <v>0.68223121116191821</v>
      </c>
      <c r="K19" s="52">
        <f t="shared" si="7"/>
        <v>0.68344486470759391</v>
      </c>
      <c r="L19" s="52">
        <f t="shared" si="7"/>
        <v>0.67981177285718408</v>
      </c>
      <c r="M19" s="52">
        <f t="shared" si="7"/>
        <v>0.68667805294619988</v>
      </c>
      <c r="N19" s="52">
        <f t="shared" si="7"/>
        <v>0.69269598683660105</v>
      </c>
      <c r="O19" s="51">
        <f t="shared" si="7"/>
        <v>0.68663229959359573</v>
      </c>
      <c r="P19" s="51">
        <f t="shared" si="7"/>
        <v>0.68484588352066966</v>
      </c>
      <c r="Q19" s="51">
        <f t="shared" si="7"/>
        <v>0.68609556151009465</v>
      </c>
      <c r="R19" s="51">
        <f t="shared" si="7"/>
        <v>0.68936728800210034</v>
      </c>
      <c r="S19" s="51">
        <f t="shared" si="7"/>
        <v>0.68987736437331104</v>
      </c>
      <c r="T19" s="30">
        <f t="shared" si="7"/>
        <v>0.68945376897408617</v>
      </c>
      <c r="U19" s="30">
        <f t="shared" si="7"/>
        <v>0.68857335655195662</v>
      </c>
      <c r="V19" s="30">
        <f t="shared" si="7"/>
        <v>0.6873802664172024</v>
      </c>
      <c r="W19" s="30">
        <f t="shared" si="7"/>
        <v>0.68621330570187256</v>
      </c>
      <c r="X19" s="30">
        <f t="shared" si="7"/>
        <v>0.68497668744377604</v>
      </c>
      <c r="Y19" s="30">
        <f t="shared" si="7"/>
        <v>0.68386366735747661</v>
      </c>
      <c r="Z19" s="30">
        <f t="shared" si="7"/>
        <v>0.68268707672946938</v>
      </c>
      <c r="AA19" s="30">
        <f t="shared" si="7"/>
        <v>0.68149225839249572</v>
      </c>
      <c r="AB19" s="30">
        <f t="shared" si="7"/>
        <v>0.68025002560288328</v>
      </c>
      <c r="AC19" s="30">
        <f t="shared" si="7"/>
        <v>0.67898380349301291</v>
      </c>
    </row>
    <row r="20" spans="1:29" x14ac:dyDescent="0.2">
      <c r="A20" s="2" t="s">
        <v>212</v>
      </c>
      <c r="B20" s="4" t="str">
        <f>$B$9</f>
        <v>From Economic Forecasts</v>
      </c>
      <c r="F20" s="52">
        <f>'Economic Forecasts'!F$11</f>
        <v>3.8300000000000001E-2</v>
      </c>
      <c r="G20" s="52">
        <f>'Economic Forecasts'!G$11</f>
        <v>3.73E-2</v>
      </c>
      <c r="H20" s="52">
        <f>'Economic Forecasts'!H$11</f>
        <v>0.05</v>
      </c>
      <c r="I20" s="52">
        <f>'Economic Forecasts'!I$11</f>
        <v>6.6299999999999998E-2</v>
      </c>
      <c r="J20" s="52">
        <f>'Economic Forecasts'!J$11</f>
        <v>6.5500000000000003E-2</v>
      </c>
      <c r="K20" s="52">
        <f>'Economic Forecasts'!K$11</f>
        <v>6.6299999999999998E-2</v>
      </c>
      <c r="L20" s="52">
        <f>'Economic Forecasts'!L$11</f>
        <v>6.6500000000000004E-2</v>
      </c>
      <c r="M20" s="52">
        <f>'Economic Forecasts'!M$11</f>
        <v>0.06</v>
      </c>
      <c r="N20" s="52">
        <f>'Economic Forecasts'!N$11</f>
        <v>5.7500000000000002E-2</v>
      </c>
      <c r="O20" s="51">
        <f>'Economic Forecasts'!O$11</f>
        <v>6.2899999999999998E-2</v>
      </c>
      <c r="P20" s="51">
        <f>'Economic Forecasts'!P$11</f>
        <v>6.1699999999999998E-2</v>
      </c>
      <c r="Q20" s="51">
        <f>'Economic Forecasts'!Q$11</f>
        <v>5.4299999999999994E-2</v>
      </c>
      <c r="R20" s="51">
        <f>'Economic Forecasts'!R$11</f>
        <v>4.7100000000000003E-2</v>
      </c>
      <c r="S20" s="51">
        <f>'Economic Forecasts'!S$11</f>
        <v>4.5400000000000003E-2</v>
      </c>
      <c r="T20" s="30">
        <f ca="1">S$20+MIN(OFFSET(Choices!$B$24,0,$C$1),ABS(OFFSET(Choices!$B$13,0,$C$1)-S$20))*SIGN(OFFSET(Choices!$B$13,0,$C$1)-S$20)</f>
        <v>4.4999999999999998E-2</v>
      </c>
      <c r="U20" s="30">
        <f ca="1">T$20+MIN(OFFSET(Choices!$B$24,0,$C$1),ABS(OFFSET(Choices!$B$13,0,$C$1)-T$20))*SIGN(OFFSET(Choices!$B$13,0,$C$1)-T$20)</f>
        <v>4.4999999999999998E-2</v>
      </c>
      <c r="V20" s="30">
        <f ca="1">U$20+MIN(OFFSET(Choices!$B$24,0,$C$1),ABS(OFFSET(Choices!$B$13,0,$C$1)-U$20))*SIGN(OFFSET(Choices!$B$13,0,$C$1)-U$20)</f>
        <v>4.4999999999999998E-2</v>
      </c>
      <c r="W20" s="30">
        <f ca="1">V$20+MIN(OFFSET(Choices!$B$24,0,$C$1),ABS(OFFSET(Choices!$B$13,0,$C$1)-V$20))*SIGN(OFFSET(Choices!$B$13,0,$C$1)-V$20)</f>
        <v>4.4999999999999998E-2</v>
      </c>
      <c r="X20" s="30">
        <f ca="1">W$20+MIN(OFFSET(Choices!$B$24,0,$C$1),ABS(OFFSET(Choices!$B$13,0,$C$1)-W$20))*SIGN(OFFSET(Choices!$B$13,0,$C$1)-W$20)</f>
        <v>4.4999999999999998E-2</v>
      </c>
      <c r="Y20" s="30">
        <f ca="1">X$20+MIN(OFFSET(Choices!$B$24,0,$C$1),ABS(OFFSET(Choices!$B$13,0,$C$1)-X$20))*SIGN(OFFSET(Choices!$B$13,0,$C$1)-X$20)</f>
        <v>4.4999999999999998E-2</v>
      </c>
      <c r="Z20" s="30">
        <f ca="1">Y$20+MIN(OFFSET(Choices!$B$24,0,$C$1),ABS(OFFSET(Choices!$B$13,0,$C$1)-Y$20))*SIGN(OFFSET(Choices!$B$13,0,$C$1)-Y$20)</f>
        <v>4.4999999999999998E-2</v>
      </c>
      <c r="AA20" s="30">
        <f ca="1">Z$20+MIN(OFFSET(Choices!$B$24,0,$C$1),ABS(OFFSET(Choices!$B$13,0,$C$1)-Z$20))*SIGN(OFFSET(Choices!$B$13,0,$C$1)-Z$20)</f>
        <v>4.4999999999999998E-2</v>
      </c>
      <c r="AB20" s="30">
        <f ca="1">AA$20+MIN(OFFSET(Choices!$B$24,0,$C$1),ABS(OFFSET(Choices!$B$13,0,$C$1)-AA$20))*SIGN(OFFSET(Choices!$B$13,0,$C$1)-AA$20)</f>
        <v>4.4999999999999998E-2</v>
      </c>
      <c r="AC20" s="30">
        <f ca="1">AB$20+MIN(OFFSET(Choices!$B$24,0,$C$1),ABS(OFFSET(Choices!$B$13,0,$C$1)-AB$20))*SIGN(OFFSET(Choices!$B$13,0,$C$1)-AB$20)</f>
        <v>4.4999999999999998E-2</v>
      </c>
    </row>
    <row r="21" spans="1:29" x14ac:dyDescent="0.2">
      <c r="A21" s="2" t="s">
        <v>211</v>
      </c>
      <c r="F21" s="21">
        <f>F$15*(1-F$20)</f>
        <v>2.1479569499999998</v>
      </c>
      <c r="G21" s="21">
        <f t="shared" ref="G21:AC21" si="8">G$15*(1-G$20)</f>
        <v>2.1769535100000001</v>
      </c>
      <c r="H21" s="21">
        <f t="shared" si="8"/>
        <v>2.1721750000000002</v>
      </c>
      <c r="I21" s="21">
        <f t="shared" si="8"/>
        <v>2.1433083499999999</v>
      </c>
      <c r="J21" s="21">
        <f t="shared" si="8"/>
        <v>2.1750487500000002</v>
      </c>
      <c r="K21" s="21">
        <f t="shared" si="8"/>
        <v>2.1932613000000001</v>
      </c>
      <c r="L21" s="21">
        <f t="shared" si="8"/>
        <v>2.1982058000000002</v>
      </c>
      <c r="M21" s="21">
        <f t="shared" si="8"/>
        <v>2.2675619999999999</v>
      </c>
      <c r="N21" s="21">
        <f t="shared" si="8"/>
        <v>2.3409814999999998</v>
      </c>
      <c r="O21" s="24">
        <f t="shared" si="8"/>
        <v>2.3590555400000004</v>
      </c>
      <c r="P21" s="24">
        <f t="shared" si="8"/>
        <v>2.3953860700000003</v>
      </c>
      <c r="Q21" s="24">
        <f t="shared" si="8"/>
        <v>2.4456747700000001</v>
      </c>
      <c r="R21" s="24">
        <f t="shared" si="8"/>
        <v>2.5021248200000001</v>
      </c>
      <c r="S21" s="24">
        <f t="shared" si="8"/>
        <v>2.5346539199999998</v>
      </c>
      <c r="T21" s="26">
        <f t="shared" ca="1" si="8"/>
        <v>2.5599250020657696</v>
      </c>
      <c r="U21" s="26">
        <f t="shared" ca="1" si="8"/>
        <v>2.5838508579085473</v>
      </c>
      <c r="V21" s="26">
        <f t="shared" ca="1" si="8"/>
        <v>2.6077861519587588</v>
      </c>
      <c r="W21" s="26">
        <f t="shared" ca="1" si="8"/>
        <v>2.6311079625258218</v>
      </c>
      <c r="X21" s="26">
        <f t="shared" ca="1" si="8"/>
        <v>2.6542787617739561</v>
      </c>
      <c r="Y21" s="26">
        <f t="shared" ca="1" si="8"/>
        <v>2.676335852544991</v>
      </c>
      <c r="Z21" s="26">
        <f t="shared" ca="1" si="8"/>
        <v>2.6969866504085012</v>
      </c>
      <c r="AA21" s="26">
        <f t="shared" ca="1" si="8"/>
        <v>2.7162689081942193</v>
      </c>
      <c r="AB21" s="26">
        <f t="shared" ca="1" si="8"/>
        <v>2.7337295919453588</v>
      </c>
      <c r="AC21" s="26">
        <f t="shared" ca="1" si="8"/>
        <v>2.7499349941079037</v>
      </c>
    </row>
    <row r="22" spans="1:29" x14ac:dyDescent="0.2">
      <c r="A22" s="4" t="s">
        <v>205</v>
      </c>
      <c r="G22" s="52">
        <f t="shared" ref="G22:AC26" si="9">G21/F21-1</f>
        <v>1.3499600166567705E-2</v>
      </c>
      <c r="H22" s="52">
        <f t="shared" si="9"/>
        <v>-2.1950445786046435E-3</v>
      </c>
      <c r="I22" s="52">
        <f t="shared" si="9"/>
        <v>-1.3289283782384143E-2</v>
      </c>
      <c r="J22" s="52">
        <f t="shared" si="9"/>
        <v>1.4809068419856741E-2</v>
      </c>
      <c r="K22" s="52">
        <f t="shared" si="9"/>
        <v>8.3733985272742562E-3</v>
      </c>
      <c r="L22" s="52">
        <f t="shared" si="9"/>
        <v>2.2544053460480384E-3</v>
      </c>
      <c r="M22" s="52">
        <f t="shared" si="9"/>
        <v>3.1551276955051E-2</v>
      </c>
      <c r="N22" s="52">
        <f t="shared" si="9"/>
        <v>3.2378166506582762E-2</v>
      </c>
      <c r="O22" s="51">
        <f t="shared" si="9"/>
        <v>7.7207103089027562E-3</v>
      </c>
      <c r="P22" s="51">
        <f t="shared" si="9"/>
        <v>1.5400455556887849E-2</v>
      </c>
      <c r="Q22" s="51">
        <f t="shared" si="9"/>
        <v>2.0993985324461617E-2</v>
      </c>
      <c r="R22" s="51">
        <f t="shared" si="9"/>
        <v>2.3081584964790736E-2</v>
      </c>
      <c r="S22" s="51">
        <f t="shared" si="9"/>
        <v>1.3000590434173231E-2</v>
      </c>
      <c r="T22" s="30">
        <f t="shared" ca="1" si="9"/>
        <v>9.9702298078507834E-3</v>
      </c>
      <c r="U22" s="30">
        <f t="shared" ca="1" si="9"/>
        <v>9.3463112487555122E-3</v>
      </c>
      <c r="V22" s="30">
        <f t="shared" ca="1" si="9"/>
        <v>9.2634193560170441E-3</v>
      </c>
      <c r="W22" s="30">
        <f t="shared" ca="1" si="9"/>
        <v>8.9431453378743253E-3</v>
      </c>
      <c r="X22" s="30">
        <f t="shared" ca="1" si="9"/>
        <v>8.8064798473304062E-3</v>
      </c>
      <c r="Y22" s="30">
        <f t="shared" ca="1" si="9"/>
        <v>8.310012907722264E-3</v>
      </c>
      <c r="Z22" s="30">
        <f t="shared" ca="1" si="9"/>
        <v>7.7160711514860925E-3</v>
      </c>
      <c r="AA22" s="30">
        <f t="shared" ca="1" si="9"/>
        <v>7.1495562585737193E-3</v>
      </c>
      <c r="AB22" s="30">
        <f t="shared" ca="1" si="9"/>
        <v>6.4281867301376749E-3</v>
      </c>
      <c r="AC22" s="30">
        <f t="shared" ca="1" si="9"/>
        <v>5.9279462790660098E-3</v>
      </c>
    </row>
    <row r="23" spans="1:29" x14ac:dyDescent="0.2">
      <c r="A23" s="31" t="s">
        <v>213</v>
      </c>
      <c r="B23" s="4" t="str">
        <f>$B$9</f>
        <v>From Economic Forecasts</v>
      </c>
      <c r="F23" s="40">
        <f>'Economic Forecasts'!F$12</f>
        <v>34.159999999999997</v>
      </c>
      <c r="G23" s="40">
        <f>'Economic Forecasts'!G$12</f>
        <v>33.72</v>
      </c>
      <c r="H23" s="40">
        <f>'Economic Forecasts'!H$12</f>
        <v>33.36</v>
      </c>
      <c r="I23" s="40">
        <f>'Economic Forecasts'!I$12</f>
        <v>33.24</v>
      </c>
      <c r="J23" s="40">
        <f>'Economic Forecasts'!J$12</f>
        <v>33.36</v>
      </c>
      <c r="K23" s="40">
        <f>'Economic Forecasts'!K$12</f>
        <v>33.21</v>
      </c>
      <c r="L23" s="40">
        <f>'Economic Forecasts'!L$12</f>
        <v>33.44</v>
      </c>
      <c r="M23" s="40">
        <f>'Economic Forecasts'!M$12</f>
        <v>33.44</v>
      </c>
      <c r="N23" s="40">
        <f>'Economic Forecasts'!N$12</f>
        <v>33.22</v>
      </c>
      <c r="O23" s="41">
        <f>'Economic Forecasts'!O$12</f>
        <v>33.31</v>
      </c>
      <c r="P23" s="41">
        <f>'Economic Forecasts'!P$12</f>
        <v>33.07</v>
      </c>
      <c r="Q23" s="41">
        <f>'Economic Forecasts'!Q$12</f>
        <v>32.94</v>
      </c>
      <c r="R23" s="41">
        <f>'Economic Forecasts'!R$12</f>
        <v>32.89</v>
      </c>
      <c r="S23" s="41">
        <f>'Economic Forecasts'!S$12</f>
        <v>32.869999999999997</v>
      </c>
      <c r="T23" s="50">
        <f t="shared" ref="T23:AC23" ca="1" si="10">S$23*T$25/S$25</f>
        <v>32.819305983960518</v>
      </c>
      <c r="U23" s="50">
        <f t="shared" ca="1" si="10"/>
        <v>32.799028377544722</v>
      </c>
      <c r="V23" s="50">
        <f t="shared" ca="1" si="10"/>
        <v>32.799028377544722</v>
      </c>
      <c r="W23" s="50">
        <f t="shared" ca="1" si="10"/>
        <v>32.799028377544722</v>
      </c>
      <c r="X23" s="50">
        <f t="shared" ca="1" si="10"/>
        <v>32.799028377544722</v>
      </c>
      <c r="Y23" s="50">
        <f t="shared" ca="1" si="10"/>
        <v>32.799028377544722</v>
      </c>
      <c r="Z23" s="50">
        <f t="shared" ca="1" si="10"/>
        <v>32.799028377544722</v>
      </c>
      <c r="AA23" s="50">
        <f t="shared" ca="1" si="10"/>
        <v>32.799028377544722</v>
      </c>
      <c r="AB23" s="50">
        <f t="shared" ca="1" si="10"/>
        <v>32.799028377544722</v>
      </c>
      <c r="AC23" s="50">
        <f t="shared" ca="1" si="10"/>
        <v>32.799028377544722</v>
      </c>
    </row>
    <row r="24" spans="1:29" x14ac:dyDescent="0.2">
      <c r="A24" s="4" t="s">
        <v>205</v>
      </c>
      <c r="G24" s="52">
        <f t="shared" si="9"/>
        <v>-1.2880562060889833E-2</v>
      </c>
      <c r="H24" s="52">
        <f t="shared" si="9"/>
        <v>-1.0676156583629859E-2</v>
      </c>
      <c r="I24" s="52">
        <f t="shared" si="9"/>
        <v>-3.597122302158251E-3</v>
      </c>
      <c r="J24" s="52">
        <f t="shared" si="9"/>
        <v>3.6101083032489267E-3</v>
      </c>
      <c r="K24" s="52">
        <f t="shared" si="9"/>
        <v>-4.4964028776978138E-3</v>
      </c>
      <c r="L24" s="52">
        <f t="shared" si="9"/>
        <v>6.9256248118034769E-3</v>
      </c>
      <c r="M24" s="52">
        <f t="shared" si="9"/>
        <v>0</v>
      </c>
      <c r="N24" s="52">
        <f t="shared" si="9"/>
        <v>-6.5789473684210176E-3</v>
      </c>
      <c r="O24" s="51">
        <f t="shared" si="9"/>
        <v>2.7092113184830069E-3</v>
      </c>
      <c r="P24" s="51">
        <f t="shared" si="9"/>
        <v>-7.2050435304713556E-3</v>
      </c>
      <c r="Q24" s="51">
        <f t="shared" si="9"/>
        <v>-3.931055337163647E-3</v>
      </c>
      <c r="R24" s="51">
        <f t="shared" si="9"/>
        <v>-1.5179113539768307E-3</v>
      </c>
      <c r="S24" s="51">
        <f t="shared" si="9"/>
        <v>-6.0808756460939417E-4</v>
      </c>
      <c r="T24" s="30">
        <f t="shared" ca="1" si="9"/>
        <v>-1.5422578655149843E-3</v>
      </c>
      <c r="U24" s="30">
        <f t="shared" ca="1" si="9"/>
        <v>-6.178560395428967E-4</v>
      </c>
      <c r="V24" s="30">
        <f t="shared" ca="1" si="9"/>
        <v>0</v>
      </c>
      <c r="W24" s="30">
        <f t="shared" ca="1" si="9"/>
        <v>0</v>
      </c>
      <c r="X24" s="30">
        <f t="shared" ca="1" si="9"/>
        <v>0</v>
      </c>
      <c r="Y24" s="30">
        <f t="shared" ca="1" si="9"/>
        <v>0</v>
      </c>
      <c r="Z24" s="30">
        <f t="shared" ca="1" si="9"/>
        <v>0</v>
      </c>
      <c r="AA24" s="30">
        <f t="shared" ca="1" si="9"/>
        <v>0</v>
      </c>
      <c r="AB24" s="30">
        <f t="shared" ca="1" si="9"/>
        <v>0</v>
      </c>
      <c r="AC24" s="30">
        <f t="shared" ca="1" si="9"/>
        <v>0</v>
      </c>
    </row>
    <row r="25" spans="1:29" x14ac:dyDescent="0.2">
      <c r="A25" s="33" t="s">
        <v>214</v>
      </c>
      <c r="B25" s="4" t="str">
        <f>$B$9</f>
        <v>From Economic Forecasts</v>
      </c>
      <c r="F25" s="40">
        <f>'Economic Forecasts'!F$13</f>
        <v>32.15</v>
      </c>
      <c r="G25" s="40">
        <f>'Economic Forecasts'!G$13</f>
        <v>32.17</v>
      </c>
      <c r="H25" s="40">
        <f>'Economic Forecasts'!H$13</f>
        <v>32.07</v>
      </c>
      <c r="I25" s="40">
        <f>'Economic Forecasts'!I$13</f>
        <v>31.97</v>
      </c>
      <c r="J25" s="40">
        <f>'Economic Forecasts'!J$13</f>
        <v>32.340000000000003</v>
      </c>
      <c r="K25" s="40">
        <f>'Economic Forecasts'!K$13</f>
        <v>32.5</v>
      </c>
      <c r="L25" s="40">
        <f>'Economic Forecasts'!L$13</f>
        <v>32.67</v>
      </c>
      <c r="M25" s="40">
        <f>'Economic Forecasts'!M$13</f>
        <v>32.94</v>
      </c>
      <c r="N25" s="40">
        <f>'Economic Forecasts'!N$13</f>
        <v>32.840000000000003</v>
      </c>
      <c r="O25" s="41">
        <f>'Economic Forecasts'!O$13</f>
        <v>32.86</v>
      </c>
      <c r="P25" s="41">
        <f>'Economic Forecasts'!P$13</f>
        <v>32.619999999999997</v>
      </c>
      <c r="Q25" s="41">
        <f>'Economic Forecasts'!Q$13</f>
        <v>32.49</v>
      </c>
      <c r="R25" s="41">
        <f>'Economic Forecasts'!R$13</f>
        <v>32.44</v>
      </c>
      <c r="S25" s="41">
        <f>'Economic Forecasts'!S$13</f>
        <v>32.42</v>
      </c>
      <c r="T25" s="50">
        <f ca="1">S$25+MIN(OFFSET(Choices!$B$25,0,$C$1),ABS(OFFSET(Choices!$B$14,0,$C$1)-S$25))*SIGN(OFFSET(Choices!$B$14,0,$C$1)-S$25)</f>
        <v>32.370000000000005</v>
      </c>
      <c r="U25" s="50">
        <f ca="1">T$25+MIN(OFFSET(Choices!$B$25,0,$C$1),ABS(OFFSET(Choices!$B$14,0,$C$1)-T$25))*SIGN(OFFSET(Choices!$B$14,0,$C$1)-T$25)</f>
        <v>32.35</v>
      </c>
      <c r="V25" s="50">
        <f ca="1">U$25+MIN(OFFSET(Choices!$B$25,0,$C$1),ABS(OFFSET(Choices!$B$14,0,$C$1)-U$25))*SIGN(OFFSET(Choices!$B$14,0,$C$1)-U$25)</f>
        <v>32.35</v>
      </c>
      <c r="W25" s="50">
        <f ca="1">V$25+MIN(OFFSET(Choices!$B$25,0,$C$1),ABS(OFFSET(Choices!$B$14,0,$C$1)-V$25))*SIGN(OFFSET(Choices!$B$14,0,$C$1)-V$25)</f>
        <v>32.35</v>
      </c>
      <c r="X25" s="50">
        <f ca="1">W$25+MIN(OFFSET(Choices!$B$25,0,$C$1),ABS(OFFSET(Choices!$B$14,0,$C$1)-W$25))*SIGN(OFFSET(Choices!$B$14,0,$C$1)-W$25)</f>
        <v>32.35</v>
      </c>
      <c r="Y25" s="50">
        <f ca="1">X$25+MIN(OFFSET(Choices!$B$25,0,$C$1),ABS(OFFSET(Choices!$B$14,0,$C$1)-X$25))*SIGN(OFFSET(Choices!$B$14,0,$C$1)-X$25)</f>
        <v>32.35</v>
      </c>
      <c r="Z25" s="50">
        <f ca="1">Y$25+MIN(OFFSET(Choices!$B$25,0,$C$1),ABS(OFFSET(Choices!$B$14,0,$C$1)-Y$25))*SIGN(OFFSET(Choices!$B$14,0,$C$1)-Y$25)</f>
        <v>32.35</v>
      </c>
      <c r="AA25" s="50">
        <f ca="1">Z$25+MIN(OFFSET(Choices!$B$25,0,$C$1),ABS(OFFSET(Choices!$B$14,0,$C$1)-Z$25))*SIGN(OFFSET(Choices!$B$14,0,$C$1)-Z$25)</f>
        <v>32.35</v>
      </c>
      <c r="AB25" s="50">
        <f ca="1">AA$25+MIN(OFFSET(Choices!$B$25,0,$C$1),ABS(OFFSET(Choices!$B$14,0,$C$1)-AA$25))*SIGN(OFFSET(Choices!$B$14,0,$C$1)-AA$25)</f>
        <v>32.35</v>
      </c>
      <c r="AC25" s="50">
        <f ca="1">AB$25+MIN(OFFSET(Choices!$B$25,0,$C$1),ABS(OFFSET(Choices!$B$14,0,$C$1)-AB$25))*SIGN(OFFSET(Choices!$B$14,0,$C$1)-AB$25)</f>
        <v>32.35</v>
      </c>
    </row>
    <row r="26" spans="1:29" x14ac:dyDescent="0.2">
      <c r="A26" s="4" t="s">
        <v>205</v>
      </c>
      <c r="G26" s="52">
        <f t="shared" si="9"/>
        <v>6.2208398133756226E-4</v>
      </c>
      <c r="H26" s="52">
        <f t="shared" si="9"/>
        <v>-3.1084861672365793E-3</v>
      </c>
      <c r="I26" s="52">
        <f t="shared" si="9"/>
        <v>-3.1181789834736628E-3</v>
      </c>
      <c r="J26" s="52">
        <f t="shared" si="9"/>
        <v>1.1573350015639861E-2</v>
      </c>
      <c r="K26" s="52">
        <f t="shared" si="9"/>
        <v>4.9474335188619545E-3</v>
      </c>
      <c r="L26" s="52">
        <f t="shared" si="9"/>
        <v>5.2307692307693721E-3</v>
      </c>
      <c r="M26" s="52">
        <f t="shared" si="9"/>
        <v>8.2644628099173278E-3</v>
      </c>
      <c r="N26" s="52">
        <f t="shared" si="9"/>
        <v>-3.0358227079536615E-3</v>
      </c>
      <c r="O26" s="51">
        <f t="shared" si="9"/>
        <v>6.0901339829455559E-4</v>
      </c>
      <c r="P26" s="51">
        <f t="shared" si="9"/>
        <v>-7.3037127206330155E-3</v>
      </c>
      <c r="Q26" s="51">
        <f t="shared" si="9"/>
        <v>-3.9852851011648038E-3</v>
      </c>
      <c r="R26" s="51">
        <f t="shared" si="9"/>
        <v>-1.5389350569406934E-3</v>
      </c>
      <c r="S26" s="51">
        <f t="shared" si="9"/>
        <v>-6.1652281134394471E-4</v>
      </c>
      <c r="T26" s="30">
        <f t="shared" ca="1" si="9"/>
        <v>-1.5422578655149843E-3</v>
      </c>
      <c r="U26" s="30">
        <f t="shared" ca="1" si="9"/>
        <v>-6.178560395428967E-4</v>
      </c>
      <c r="V26" s="30">
        <f t="shared" ca="1" si="9"/>
        <v>0</v>
      </c>
      <c r="W26" s="30">
        <f t="shared" ca="1" si="9"/>
        <v>0</v>
      </c>
      <c r="X26" s="30">
        <f t="shared" ca="1" si="9"/>
        <v>0</v>
      </c>
      <c r="Y26" s="30">
        <f t="shared" ca="1" si="9"/>
        <v>0</v>
      </c>
      <c r="Z26" s="30">
        <f t="shared" ca="1" si="9"/>
        <v>0</v>
      </c>
      <c r="AA26" s="30">
        <f t="shared" ca="1" si="9"/>
        <v>0</v>
      </c>
      <c r="AB26" s="30">
        <f t="shared" ca="1" si="9"/>
        <v>0</v>
      </c>
      <c r="AC26" s="30">
        <f t="shared" ca="1" si="9"/>
        <v>0</v>
      </c>
    </row>
    <row r="27" spans="1:29" x14ac:dyDescent="0.2">
      <c r="A27" s="31" t="s">
        <v>174</v>
      </c>
      <c r="B27" s="4" t="str">
        <f>$B$9</f>
        <v>From Economic Forecasts</v>
      </c>
      <c r="F27" s="52">
        <f>'Economic Forecasts'!F$14</f>
        <v>2.3599999999999999E-2</v>
      </c>
      <c r="G27" s="52">
        <f>'Economic Forecasts'!G$14</f>
        <v>1.9900000000000001E-2</v>
      </c>
      <c r="H27" s="52">
        <f>'Economic Forecasts'!H$14</f>
        <v>-7.0000000000000001E-3</v>
      </c>
      <c r="I27" s="52">
        <f>'Economic Forecasts'!I$14</f>
        <v>2.5499999999999998E-2</v>
      </c>
      <c r="J27" s="52">
        <f>'Economic Forecasts'!J$14</f>
        <v>-8.0999999999999996E-3</v>
      </c>
      <c r="K27" s="52">
        <f>'Economic Forecasts'!K$14</f>
        <v>2.1700000000000001E-2</v>
      </c>
      <c r="L27" s="52">
        <f>'Economic Forecasts'!L$14</f>
        <v>1.24E-2</v>
      </c>
      <c r="M27" s="52">
        <f>'Economic Forecasts'!M$14</f>
        <v>-3.0999999999999999E-3</v>
      </c>
      <c r="N27" s="52">
        <f>'Economic Forecasts'!N$14</f>
        <v>3.8E-3</v>
      </c>
      <c r="O27" s="51">
        <f>'Economic Forecasts'!O$14</f>
        <v>1.03E-2</v>
      </c>
      <c r="P27" s="51">
        <f>'Economic Forecasts'!P$14</f>
        <v>1.77E-2</v>
      </c>
      <c r="Q27" s="51">
        <f>'Economic Forecasts'!Q$14</f>
        <v>2.01E-2</v>
      </c>
      <c r="R27" s="51">
        <f>'Economic Forecasts'!R$14</f>
        <v>5.0000000000000001E-3</v>
      </c>
      <c r="S27" s="51">
        <f>'Economic Forecasts'!S$14</f>
        <v>8.8000000000000005E-3</v>
      </c>
      <c r="T27" s="30">
        <f ca="1">IF(T$4&lt;=OFFSET(Choices!$B$20,0,$C$1),(T$9/S$9)/((T$15*(1-T$20)*T$23)/(S$15*(1-S$20)*S$23))-1,OFFSET(Choices!$B$12,0,$C$1))</f>
        <v>1.4999999999999999E-2</v>
      </c>
      <c r="U27" s="30">
        <f ca="1">IF(U$4&lt;=OFFSET(Choices!$B$20,0,$C$1),(U$9/T$9)/((U$15*(1-U$20)*U$23)/(T$15*(1-T$20)*T$23))-1,OFFSET(Choices!$B$12,0,$C$1))</f>
        <v>1.4999999999999999E-2</v>
      </c>
      <c r="V27" s="30">
        <f ca="1">IF(V$4&lt;=OFFSET(Choices!$B$20,0,$C$1),(V$9/U$9)/((V$15*(1-V$20)*V$23)/(U$15*(1-U$20)*U$23))-1,OFFSET(Choices!$B$12,0,$C$1))</f>
        <v>1.4999999999999999E-2</v>
      </c>
      <c r="W27" s="30">
        <f ca="1">IF(W$4&lt;=OFFSET(Choices!$B$20,0,$C$1),(W$9/V$9)/((W$15*(1-W$20)*W$23)/(V$15*(1-V$20)*V$23))-1,OFFSET(Choices!$B$12,0,$C$1))</f>
        <v>1.4999999999999999E-2</v>
      </c>
      <c r="X27" s="30">
        <f ca="1">IF(X$4&lt;=OFFSET(Choices!$B$20,0,$C$1),(X$9/W$9)/((X$15*(1-X$20)*X$23)/(W$15*(1-W$20)*W$23))-1,OFFSET(Choices!$B$12,0,$C$1))</f>
        <v>1.4999999999999999E-2</v>
      </c>
      <c r="Y27" s="30">
        <f ca="1">IF(Y$4&lt;=OFFSET(Choices!$B$20,0,$C$1),(Y$9/X$9)/((Y$15*(1-Y$20)*Y$23)/(X$15*(1-X$20)*X$23))-1,OFFSET(Choices!$B$12,0,$C$1))</f>
        <v>1.4999999999999999E-2</v>
      </c>
      <c r="Z27" s="30">
        <f ca="1">IF(Z$4&lt;=OFFSET(Choices!$B$20,0,$C$1),(Z$9/Y$9)/((Z$15*(1-Z$20)*Z$23)/(Y$15*(1-Y$20)*Y$23))-1,OFFSET(Choices!$B$12,0,$C$1))</f>
        <v>1.4999999999999999E-2</v>
      </c>
      <c r="AA27" s="30">
        <f ca="1">IF(AA$4&lt;=OFFSET(Choices!$B$20,0,$C$1),(AA$9/Z$9)/((AA$15*(1-AA$20)*AA$23)/(Z$15*(1-Z$20)*Z$23))-1,OFFSET(Choices!$B$12,0,$C$1))</f>
        <v>1.4999999999999999E-2</v>
      </c>
      <c r="AB27" s="30">
        <f ca="1">IF(AB$4&lt;=OFFSET(Choices!$B$20,0,$C$1),(AB$9/AA$9)/((AB$15*(1-AB$20)*AB$23)/(AA$15*(1-AA$20)*AA$23))-1,OFFSET(Choices!$B$12,0,$C$1))</f>
        <v>1.4999999999999999E-2</v>
      </c>
      <c r="AC27" s="30">
        <f ca="1">IF(AC$4&lt;=OFFSET(Choices!$B$20,0,$C$1),(AC$9/AB$9)/((AC$15*(1-AC$20)*AC$23)/(AB$15*(1-AB$20)*AB$23))-1,OFFSET(Choices!$B$12,0,$C$1))</f>
        <v>1.4999999999999999E-2</v>
      </c>
    </row>
    <row r="28" spans="1:29" x14ac:dyDescent="0.2">
      <c r="A28" s="5" t="s">
        <v>215</v>
      </c>
      <c r="W28" s="59"/>
      <c r="X28" s="86"/>
    </row>
    <row r="29" spans="1:29" x14ac:dyDescent="0.2">
      <c r="A29" s="31" t="s">
        <v>216</v>
      </c>
      <c r="B29" s="4" t="str">
        <f>$B$9</f>
        <v>From Economic Forecasts</v>
      </c>
      <c r="F29" s="37">
        <f>'Economic Forecasts'!F$15</f>
        <v>1020</v>
      </c>
      <c r="G29" s="37">
        <f>'Economic Forecasts'!G$15</f>
        <v>1061</v>
      </c>
      <c r="H29" s="37">
        <f>'Economic Forecasts'!H$15</f>
        <v>1081</v>
      </c>
      <c r="I29" s="37">
        <f>'Economic Forecasts'!I$15</f>
        <v>1099</v>
      </c>
      <c r="J29" s="37">
        <f>'Economic Forecasts'!J$15</f>
        <v>1157</v>
      </c>
      <c r="K29" s="37">
        <f>'Economic Forecasts'!K$15</f>
        <v>1168</v>
      </c>
      <c r="L29" s="37">
        <f>'Economic Forecasts'!L$15</f>
        <v>1176</v>
      </c>
      <c r="M29" s="37">
        <f>'Economic Forecasts'!M$15</f>
        <v>1195</v>
      </c>
      <c r="N29" s="37">
        <f>'Economic Forecasts'!N$15</f>
        <v>1200</v>
      </c>
      <c r="O29" s="36">
        <f>'Economic Forecasts'!O$15</f>
        <v>1221</v>
      </c>
      <c r="P29" s="36">
        <f>'Economic Forecasts'!P$15</f>
        <v>1243</v>
      </c>
      <c r="Q29" s="36">
        <f>'Economic Forecasts'!Q$15</f>
        <v>1268</v>
      </c>
      <c r="R29" s="36">
        <f>'Economic Forecasts'!R$15</f>
        <v>1295</v>
      </c>
      <c r="S29" s="36">
        <f>'Economic Forecasts'!S$15</f>
        <v>1324</v>
      </c>
      <c r="T29" s="53">
        <f t="shared" ref="T29:AC29" ca="1" si="11">S$29*(1+T$30)</f>
        <v>1351.001420849421</v>
      </c>
      <c r="U29" s="53">
        <f t="shared" ca="1" si="11"/>
        <v>1378.0214492664095</v>
      </c>
      <c r="V29" s="53">
        <f t="shared" ca="1" si="11"/>
        <v>1405.5818782517376</v>
      </c>
      <c r="W29" s="53">
        <f t="shared" ca="1" si="11"/>
        <v>1433.6935158167723</v>
      </c>
      <c r="X29" s="53">
        <f t="shared" ca="1" si="11"/>
        <v>1462.3673861331079</v>
      </c>
      <c r="Y29" s="53">
        <f t="shared" ca="1" si="11"/>
        <v>1491.6147338557701</v>
      </c>
      <c r="Z29" s="53">
        <f t="shared" ca="1" si="11"/>
        <v>1521.4470285328855</v>
      </c>
      <c r="AA29" s="53">
        <f t="shared" ca="1" si="11"/>
        <v>1551.8759691035432</v>
      </c>
      <c r="AB29" s="53">
        <f t="shared" ca="1" si="11"/>
        <v>1582.9134884856142</v>
      </c>
      <c r="AC29" s="53">
        <f t="shared" ca="1" si="11"/>
        <v>1614.5717582553264</v>
      </c>
    </row>
    <row r="30" spans="1:29" x14ac:dyDescent="0.2">
      <c r="A30" s="4" t="s">
        <v>205</v>
      </c>
      <c r="G30" s="52">
        <f t="shared" ref="G30:S30" si="12">G29/F29-1</f>
        <v>4.0196078431372628E-2</v>
      </c>
      <c r="H30" s="52">
        <f t="shared" si="12"/>
        <v>1.8850141376060225E-2</v>
      </c>
      <c r="I30" s="52">
        <f t="shared" si="12"/>
        <v>1.6651248843663202E-2</v>
      </c>
      <c r="J30" s="52">
        <f t="shared" si="12"/>
        <v>5.277525022747942E-2</v>
      </c>
      <c r="K30" s="52">
        <f t="shared" si="12"/>
        <v>9.5073465859982775E-3</v>
      </c>
      <c r="L30" s="52">
        <f t="shared" si="12"/>
        <v>6.8493150684931781E-3</v>
      </c>
      <c r="M30" s="52">
        <f t="shared" si="12"/>
        <v>1.6156462585034115E-2</v>
      </c>
      <c r="N30" s="52">
        <f t="shared" si="12"/>
        <v>4.1841004184099972E-3</v>
      </c>
      <c r="O30" s="51">
        <f t="shared" si="12"/>
        <v>1.7500000000000071E-2</v>
      </c>
      <c r="P30" s="51">
        <f t="shared" si="12"/>
        <v>1.8018018018018056E-2</v>
      </c>
      <c r="Q30" s="51">
        <f t="shared" si="12"/>
        <v>2.011263073209979E-2</v>
      </c>
      <c r="R30" s="51">
        <f t="shared" si="12"/>
        <v>2.1293375394321856E-2</v>
      </c>
      <c r="S30" s="51">
        <f t="shared" si="12"/>
        <v>2.2393822393822482E-2</v>
      </c>
      <c r="T30" s="30">
        <f ca="1">S$30+MIN(OFFSET(Choices!$B$26,0,$C$1),ABS(OFFSET(Choices!$B$15,0,$C$1)-S$30))*SIGN(OFFSET(Choices!$B$15,0,$C$1)-S$30)</f>
        <v>2.0393822393822481E-2</v>
      </c>
      <c r="U30" s="30">
        <f ca="1">T$30+MIN(OFFSET(Choices!$B$26,0,$C$1),ABS(OFFSET(Choices!$B$15,0,$C$1)-T$30))*SIGN(OFFSET(Choices!$B$15,0,$C$1)-T$30)</f>
        <v>0.02</v>
      </c>
      <c r="V30" s="30">
        <f ca="1">U$30+MIN(OFFSET(Choices!$B$26,0,$C$1),ABS(OFFSET(Choices!$B$15,0,$C$1)-U$30))*SIGN(OFFSET(Choices!$B$15,0,$C$1)-U$30)</f>
        <v>0.02</v>
      </c>
      <c r="W30" s="30">
        <f ca="1">V$30+MIN(OFFSET(Choices!$B$26,0,$C$1),ABS(OFFSET(Choices!$B$15,0,$C$1)-V$30))*SIGN(OFFSET(Choices!$B$15,0,$C$1)-V$30)</f>
        <v>0.02</v>
      </c>
      <c r="X30" s="30">
        <f ca="1">W$30+MIN(OFFSET(Choices!$B$26,0,$C$1),ABS(OFFSET(Choices!$B$15,0,$C$1)-W$30))*SIGN(OFFSET(Choices!$B$15,0,$C$1)-W$30)</f>
        <v>0.02</v>
      </c>
      <c r="Y30" s="30">
        <f ca="1">X$30+MIN(OFFSET(Choices!$B$26,0,$C$1),ABS(OFFSET(Choices!$B$15,0,$C$1)-X$30))*SIGN(OFFSET(Choices!$B$15,0,$C$1)-X$30)</f>
        <v>0.02</v>
      </c>
      <c r="Z30" s="30">
        <f ca="1">Y$30+MIN(OFFSET(Choices!$B$26,0,$C$1),ABS(OFFSET(Choices!$B$15,0,$C$1)-Y$30))*SIGN(OFFSET(Choices!$B$15,0,$C$1)-Y$30)</f>
        <v>0.02</v>
      </c>
      <c r="AA30" s="30">
        <f ca="1">Z$30+MIN(OFFSET(Choices!$B$26,0,$C$1),ABS(OFFSET(Choices!$B$15,0,$C$1)-Z$30))*SIGN(OFFSET(Choices!$B$15,0,$C$1)-Z$30)</f>
        <v>0.02</v>
      </c>
      <c r="AB30" s="30">
        <f ca="1">AA$30+MIN(OFFSET(Choices!$B$26,0,$C$1),ABS(OFFSET(Choices!$B$15,0,$C$1)-AA$30))*SIGN(OFFSET(Choices!$B$15,0,$C$1)-AA$30)</f>
        <v>0.02</v>
      </c>
      <c r="AC30" s="30">
        <f ca="1">AB$30+MIN(OFFSET(Choices!$B$26,0,$C$1),ABS(OFFSET(Choices!$B$15,0,$C$1)-AB$30))*SIGN(OFFSET(Choices!$B$15,0,$C$1)-AB$30)</f>
        <v>0.02</v>
      </c>
    </row>
    <row r="31" spans="1:29" x14ac:dyDescent="0.2">
      <c r="A31" s="31" t="s">
        <v>175</v>
      </c>
      <c r="B31" s="4" t="str">
        <f>$B$9</f>
        <v>From Economic Forecasts</v>
      </c>
      <c r="F31" s="52">
        <f>'Economic Forecasts'!F$16</f>
        <v>4.8099999999999997E-2</v>
      </c>
      <c r="G31" s="52">
        <f>'Economic Forecasts'!G$16</f>
        <v>4.5900000000000003E-2</v>
      </c>
      <c r="H31" s="52">
        <f>'Economic Forecasts'!H$16</f>
        <v>5.3100000000000001E-2</v>
      </c>
      <c r="I31" s="52">
        <f>'Economic Forecasts'!I$16</f>
        <v>2.1899999999999999E-2</v>
      </c>
      <c r="J31" s="52">
        <f>'Economic Forecasts'!J$16</f>
        <v>2.1399999999999999E-2</v>
      </c>
      <c r="K31" s="52">
        <f>'Economic Forecasts'!K$16</f>
        <v>3.1699999999999999E-2</v>
      </c>
      <c r="L31" s="52">
        <f>'Economic Forecasts'!L$16</f>
        <v>2.3900000000000001E-2</v>
      </c>
      <c r="M31" s="52">
        <f>'Economic Forecasts'!M$16</f>
        <v>2.64E-2</v>
      </c>
      <c r="N31" s="52">
        <f>'Economic Forecasts'!N$16</f>
        <v>2.4400000000000002E-2</v>
      </c>
      <c r="O31" s="51">
        <f>'Economic Forecasts'!O$16</f>
        <v>2.1299999999999999E-2</v>
      </c>
      <c r="P31" s="51">
        <f>'Economic Forecasts'!P$16</f>
        <v>1.9199999999999998E-2</v>
      </c>
      <c r="Q31" s="51">
        <f>'Economic Forecasts'!Q$16</f>
        <v>2.12E-2</v>
      </c>
      <c r="R31" s="51">
        <f>'Economic Forecasts'!R$16</f>
        <v>2.7199999999999998E-2</v>
      </c>
      <c r="S31" s="51">
        <f>'Economic Forecasts'!S$16</f>
        <v>3.2899999999999999E-2</v>
      </c>
      <c r="T31" s="30">
        <f t="shared" ref="T31:AC31" ca="1" si="13">(1+T$27)*(1+T$30)-1</f>
        <v>3.5699729729729679E-2</v>
      </c>
      <c r="U31" s="30">
        <f t="shared" ca="1" si="13"/>
        <v>3.5299999999999887E-2</v>
      </c>
      <c r="V31" s="30">
        <f t="shared" ca="1" si="13"/>
        <v>3.5299999999999887E-2</v>
      </c>
      <c r="W31" s="30">
        <f t="shared" ca="1" si="13"/>
        <v>3.5299999999999887E-2</v>
      </c>
      <c r="X31" s="30">
        <f t="shared" ca="1" si="13"/>
        <v>3.5299999999999887E-2</v>
      </c>
      <c r="Y31" s="30">
        <f t="shared" ca="1" si="13"/>
        <v>3.5299999999999887E-2</v>
      </c>
      <c r="Z31" s="30">
        <f t="shared" ca="1" si="13"/>
        <v>3.5299999999999887E-2</v>
      </c>
      <c r="AA31" s="30">
        <f t="shared" ca="1" si="13"/>
        <v>3.5299999999999887E-2</v>
      </c>
      <c r="AB31" s="30">
        <f t="shared" ca="1" si="13"/>
        <v>3.5299999999999887E-2</v>
      </c>
      <c r="AC31" s="30">
        <f t="shared" ca="1" si="13"/>
        <v>3.5299999999999887E-2</v>
      </c>
    </row>
    <row r="32" spans="1:29" x14ac:dyDescent="0.2">
      <c r="A32" s="31" t="s">
        <v>1199</v>
      </c>
      <c r="B32" s="4" t="str">
        <f>$B$9</f>
        <v>From Economic Forecasts</v>
      </c>
      <c r="F32" s="52">
        <f>'Economic Forecasts'!F$17</f>
        <v>5.96E-2</v>
      </c>
      <c r="G32" s="52">
        <f>'Economic Forecasts'!G$17</f>
        <v>6.4100000000000004E-2</v>
      </c>
      <c r="H32" s="52">
        <f>'Economic Forecasts'!H$17</f>
        <v>5.4299999999999994E-2</v>
      </c>
      <c r="I32" s="52">
        <f>'Economic Forecasts'!I$17</f>
        <v>5.8200000000000002E-2</v>
      </c>
      <c r="J32" s="52">
        <f>'Economic Forecasts'!J$17</f>
        <v>5.4199999999999998E-2</v>
      </c>
      <c r="K32" s="52">
        <f>'Economic Forecasts'!K$17</f>
        <v>4.1399999999999999E-2</v>
      </c>
      <c r="L32" s="52">
        <f>'Economic Forecasts'!L$17</f>
        <v>3.5699999999999996E-2</v>
      </c>
      <c r="M32" s="52">
        <f>'Economic Forecasts'!M$17</f>
        <v>4.5499999999999999E-2</v>
      </c>
      <c r="N32" s="52">
        <f>'Economic Forecasts'!N$17</f>
        <v>3.7699999999999997E-2</v>
      </c>
      <c r="O32" s="51">
        <f>'Economic Forecasts'!O$17</f>
        <v>3.3300000000000003E-2</v>
      </c>
      <c r="P32" s="51">
        <f>'Economic Forecasts'!P$17</f>
        <v>3.5400000000000001E-2</v>
      </c>
      <c r="Q32" s="51">
        <f>'Economic Forecasts'!Q$17</f>
        <v>4.1599999999999998E-2</v>
      </c>
      <c r="R32" s="51">
        <f>'Economic Forecasts'!R$17</f>
        <v>4.5599999999999995E-2</v>
      </c>
      <c r="S32" s="51">
        <f>'Economic Forecasts'!S$17</f>
        <v>4.7699999999999992E-2</v>
      </c>
      <c r="T32" s="30">
        <f ca="1">S$32+MIN(OFFSET(Choices!$B$27,0,$C$1),ABS(OFFSET(Choices!$B$16,0,$C$1)-S$32))*SIGN(OFFSET(Choices!$B$16,0,$C$1)-S$32)</f>
        <v>4.9699999999999994E-2</v>
      </c>
      <c r="U32" s="30">
        <f ca="1">T$32+MIN(OFFSET(Choices!$B$27,0,$C$1),ABS(OFFSET(Choices!$B$16,0,$C$1)-T$32))*SIGN(OFFSET(Choices!$B$16,0,$C$1)-T$32)</f>
        <v>5.1699999999999996E-2</v>
      </c>
      <c r="V32" s="30">
        <f ca="1">U$32+MIN(OFFSET(Choices!$B$27,0,$C$1),ABS(OFFSET(Choices!$B$16,0,$C$1)-U$32))*SIGN(OFFSET(Choices!$B$16,0,$C$1)-U$32)</f>
        <v>5.2999999999999999E-2</v>
      </c>
      <c r="W32" s="30">
        <f ca="1">V$32+MIN(OFFSET(Choices!$B$27,0,$C$1),ABS(OFFSET(Choices!$B$16,0,$C$1)-V$32))*SIGN(OFFSET(Choices!$B$16,0,$C$1)-V$32)</f>
        <v>5.2999999999999999E-2</v>
      </c>
      <c r="X32" s="30">
        <f ca="1">W$32+MIN(OFFSET(Choices!$B$27,0,$C$1),ABS(OFFSET(Choices!$B$16,0,$C$1)-W$32))*SIGN(OFFSET(Choices!$B$16,0,$C$1)-W$32)</f>
        <v>5.2999999999999999E-2</v>
      </c>
      <c r="Y32" s="30">
        <f ca="1">X$32+MIN(OFFSET(Choices!$B$27,0,$C$1),ABS(OFFSET(Choices!$B$16,0,$C$1)-X$32))*SIGN(OFFSET(Choices!$B$16,0,$C$1)-X$32)</f>
        <v>5.2999999999999999E-2</v>
      </c>
      <c r="Z32" s="30">
        <f ca="1">Y$32+MIN(OFFSET(Choices!$B$27,0,$C$1),ABS(OFFSET(Choices!$B$16,0,$C$1)-Y$32))*SIGN(OFFSET(Choices!$B$16,0,$C$1)-Y$32)</f>
        <v>5.2999999999999999E-2</v>
      </c>
      <c r="AA32" s="30">
        <f ca="1">Z$32+MIN(OFFSET(Choices!$B$27,0,$C$1),ABS(OFFSET(Choices!$B$16,0,$C$1)-Z$32))*SIGN(OFFSET(Choices!$B$16,0,$C$1)-Z$32)</f>
        <v>5.2999999999999999E-2</v>
      </c>
      <c r="AB32" s="30">
        <f ca="1">AA$32+MIN(OFFSET(Choices!$B$27,0,$C$1),ABS(OFFSET(Choices!$B$16,0,$C$1)-AA$32))*SIGN(OFFSET(Choices!$B$16,0,$C$1)-AA$32)</f>
        <v>5.2999999999999999E-2</v>
      </c>
      <c r="AC32" s="30">
        <f ca="1">AB$32+MIN(OFFSET(Choices!$B$27,0,$C$1),ABS(OFFSET(Choices!$B$16,0,$C$1)-AB$32))*SIGN(OFFSET(Choices!$B$16,0,$C$1)-AB$32)</f>
        <v>5.2999999999999999E-2</v>
      </c>
    </row>
    <row r="33" spans="1:29" x14ac:dyDescent="0.2">
      <c r="A33" s="31" t="s">
        <v>809</v>
      </c>
      <c r="B33" s="4" t="str">
        <f>$B$9</f>
        <v>From Economic Forecasts</v>
      </c>
      <c r="F33" s="40">
        <f>'Economic Forecasts'!F$18</f>
        <v>832.3</v>
      </c>
      <c r="G33" s="40">
        <f>'Economic Forecasts'!G$18</f>
        <v>861.27</v>
      </c>
      <c r="H33" s="40">
        <f>'Economic Forecasts'!H$18</f>
        <v>905.51</v>
      </c>
      <c r="I33" s="40">
        <f>'Economic Forecasts'!I$18</f>
        <v>934.78</v>
      </c>
      <c r="J33" s="40">
        <f>'Economic Forecasts'!J$18</f>
        <v>967.96</v>
      </c>
      <c r="K33" s="40">
        <f>'Economic Forecasts'!K$18</f>
        <v>994.19</v>
      </c>
      <c r="L33" s="40">
        <f>'Economic Forecasts'!L$18</f>
        <v>1022.88</v>
      </c>
      <c r="M33" s="40">
        <f>'Economic Forecasts'!M$18</f>
        <v>1051.6400000000001</v>
      </c>
      <c r="N33" s="40">
        <f>'Economic Forecasts'!N$18</f>
        <v>1077.5</v>
      </c>
      <c r="O33" s="41">
        <f>'Economic Forecasts'!O$18</f>
        <v>1103.96</v>
      </c>
      <c r="P33" s="41">
        <f>'Economic Forecasts'!P$18</f>
        <v>1116.4100000000001</v>
      </c>
      <c r="Q33" s="41">
        <f>'Economic Forecasts'!Q$18</f>
        <v>1134.1099999999999</v>
      </c>
      <c r="R33" s="41">
        <f>'Economic Forecasts'!R$18</f>
        <v>1161.83</v>
      </c>
      <c r="S33" s="41">
        <f>'Economic Forecasts'!S$18</f>
        <v>1198.73</v>
      </c>
      <c r="T33" s="3">
        <f t="shared" ref="T33:AC33" ca="1" si="14">S$33*(1+T$31)</f>
        <v>1241.5243370189189</v>
      </c>
      <c r="U33" s="3">
        <f t="shared" ca="1" si="14"/>
        <v>1285.3501461156866</v>
      </c>
      <c r="V33" s="3">
        <f t="shared" ca="1" si="14"/>
        <v>1330.7230062735703</v>
      </c>
      <c r="W33" s="3">
        <f t="shared" ca="1" si="14"/>
        <v>1377.6975283950271</v>
      </c>
      <c r="X33" s="3">
        <f t="shared" ca="1" si="14"/>
        <v>1426.3302511473714</v>
      </c>
      <c r="Y33" s="3">
        <f t="shared" ca="1" si="14"/>
        <v>1476.6797090128734</v>
      </c>
      <c r="Z33" s="3">
        <f t="shared" ca="1" si="14"/>
        <v>1528.8065027410278</v>
      </c>
      <c r="AA33" s="3">
        <f t="shared" ca="1" si="14"/>
        <v>1582.7733722877858</v>
      </c>
      <c r="AB33" s="3">
        <f t="shared" ca="1" si="14"/>
        <v>1638.6452723295445</v>
      </c>
      <c r="AC33" s="3">
        <f t="shared" ca="1" si="14"/>
        <v>1696.4894504427773</v>
      </c>
    </row>
    <row r="34" spans="1:29" x14ac:dyDescent="0.2">
      <c r="A34" s="5" t="s">
        <v>217</v>
      </c>
    </row>
    <row r="35" spans="1:29" x14ac:dyDescent="0.2">
      <c r="A35" s="2" t="s">
        <v>171</v>
      </c>
      <c r="B35" s="4" t="str">
        <f>$B$9</f>
        <v>From Economic Forecasts</v>
      </c>
      <c r="F35" s="21">
        <f>'Economic Forecasts'!F$10</f>
        <v>4.2119999999999997</v>
      </c>
      <c r="G35" s="21">
        <f>'Economic Forecasts'!G$10</f>
        <v>4.2488999999999999</v>
      </c>
      <c r="H35" s="21">
        <f>'Economic Forecasts'!H$10</f>
        <v>4.2865000000000002</v>
      </c>
      <c r="I35" s="21">
        <f>'Economic Forecasts'!I$10</f>
        <v>4.3365</v>
      </c>
      <c r="J35" s="21">
        <f>'Economic Forecasts'!J$10</f>
        <v>4.3757999999999999</v>
      </c>
      <c r="K35" s="21">
        <f>'Economic Forecasts'!K$10</f>
        <v>4.4015000000000004</v>
      </c>
      <c r="L35" s="21">
        <f>'Economic Forecasts'!L$10</f>
        <v>4.4298999999999999</v>
      </c>
      <c r="M35" s="21">
        <f>'Economic Forecasts'!M$10</f>
        <v>4.4847999999999999</v>
      </c>
      <c r="N35" s="21">
        <f>'Economic Forecasts'!N$10</f>
        <v>4.5656999999999996</v>
      </c>
      <c r="O35" s="24">
        <f>'Economic Forecasts'!O$10</f>
        <v>4.6528</v>
      </c>
      <c r="P35" s="24">
        <f>'Economic Forecasts'!P$10</f>
        <v>4.7168999999999999</v>
      </c>
      <c r="Q35" s="24">
        <f>'Economic Forecasts'!Q$10</f>
        <v>4.7616000000000005</v>
      </c>
      <c r="R35" s="24">
        <f>'Economic Forecasts'!R$10</f>
        <v>4.8041999999999998</v>
      </c>
      <c r="S35" s="24">
        <f>'Economic Forecasts'!S$10</f>
        <v>4.8470000000000004</v>
      </c>
      <c r="T35" s="26">
        <f>S$35*Popn!T$7/Popn!S$7</f>
        <v>4.8894442792476154</v>
      </c>
      <c r="U35" s="26">
        <f>T$35*Popn!U$7/Popn!T$7</f>
        <v>4.9317578988622151</v>
      </c>
      <c r="V35" s="26">
        <f>U$35*Popn!V$7/Popn!U$7</f>
        <v>4.9740011632898078</v>
      </c>
      <c r="W35" s="26">
        <f>V$35*Popn!W$7/Popn!V$7</f>
        <v>5.0158926517823623</v>
      </c>
      <c r="X35" s="26">
        <f>W$35*Popn!X$7/Popn!W$7</f>
        <v>5.0574625165628824</v>
      </c>
      <c r="Y35" s="26">
        <f>X$35*Popn!Y$7/Popn!X$7</f>
        <v>5.098479590588342</v>
      </c>
      <c r="Z35" s="26">
        <f>Y$35*Popn!Z$7/Popn!Y$7</f>
        <v>5.1390745334917565</v>
      </c>
      <c r="AA35" s="26">
        <f>Z$35*Popn!AA$7/Popn!Z$7</f>
        <v>5.1789860260070961</v>
      </c>
      <c r="AB35" s="26">
        <f>AA$35*Popn!AB$7/Popn!AA$7</f>
        <v>5.2182241188753622</v>
      </c>
      <c r="AC35" s="26">
        <f>AB$35*Popn!AC$7/Popn!AB$7</f>
        <v>5.2564068839385136</v>
      </c>
    </row>
    <row r="36" spans="1:29" x14ac:dyDescent="0.2">
      <c r="A36" s="4" t="s">
        <v>205</v>
      </c>
      <c r="G36" s="52">
        <f>G35/F35-1</f>
        <v>8.7606837606837296E-3</v>
      </c>
      <c r="H36" s="52">
        <f t="shared" ref="H36:AC36" si="15">H35/G35-1</f>
        <v>8.8493492433336929E-3</v>
      </c>
      <c r="I36" s="52">
        <f t="shared" si="15"/>
        <v>1.1664528169835542E-2</v>
      </c>
      <c r="J36" s="52">
        <f t="shared" si="15"/>
        <v>9.0626080940849896E-3</v>
      </c>
      <c r="K36" s="52">
        <f t="shared" si="15"/>
        <v>5.8732117555648777E-3</v>
      </c>
      <c r="L36" s="52">
        <f t="shared" si="15"/>
        <v>6.4523457912073479E-3</v>
      </c>
      <c r="M36" s="52">
        <f t="shared" si="15"/>
        <v>1.2393056276665426E-2</v>
      </c>
      <c r="N36" s="52">
        <f t="shared" si="15"/>
        <v>1.8038708526578517E-2</v>
      </c>
      <c r="O36" s="51">
        <f t="shared" si="15"/>
        <v>1.9077030904352199E-2</v>
      </c>
      <c r="P36" s="51">
        <f t="shared" si="15"/>
        <v>1.3776650618982034E-2</v>
      </c>
      <c r="Q36" s="51">
        <f t="shared" si="15"/>
        <v>9.4765629968835974E-3</v>
      </c>
      <c r="R36" s="51">
        <f t="shared" si="15"/>
        <v>8.946572580645018E-3</v>
      </c>
      <c r="S36" s="51">
        <f t="shared" si="15"/>
        <v>8.9088714041880568E-3</v>
      </c>
      <c r="T36" s="30">
        <f t="shared" si="15"/>
        <v>8.7568143692211553E-3</v>
      </c>
      <c r="U36" s="30">
        <f t="shared" si="15"/>
        <v>8.6540754322923519E-3</v>
      </c>
      <c r="V36" s="30">
        <f t="shared" si="15"/>
        <v>8.5655592374755951E-3</v>
      </c>
      <c r="W36" s="30">
        <f t="shared" si="15"/>
        <v>8.4220906102177029E-3</v>
      </c>
      <c r="X36" s="30">
        <f t="shared" si="15"/>
        <v>8.2876304710683968E-3</v>
      </c>
      <c r="Y36" s="30">
        <f t="shared" si="15"/>
        <v>8.1102082103685635E-3</v>
      </c>
      <c r="Z36" s="30">
        <f t="shared" si="15"/>
        <v>7.962166403166826E-3</v>
      </c>
      <c r="AA36" s="30">
        <f t="shared" si="15"/>
        <v>7.7662801454294605E-3</v>
      </c>
      <c r="AB36" s="30">
        <f t="shared" si="15"/>
        <v>7.576404468215614E-3</v>
      </c>
      <c r="AC36" s="30">
        <f t="shared" si="15"/>
        <v>7.3171953126804912E-3</v>
      </c>
    </row>
    <row r="38" spans="1:29" ht="15.75" x14ac:dyDescent="0.25">
      <c r="A38" s="1" t="s">
        <v>218</v>
      </c>
    </row>
    <row r="39" spans="1:29" x14ac:dyDescent="0.2">
      <c r="A39" s="32" t="s">
        <v>223</v>
      </c>
      <c r="F39" s="21">
        <f>F$140</f>
        <v>53.063999999999993</v>
      </c>
      <c r="G39" s="21">
        <f t="shared" ref="G39:AC39" si="16">G$140</f>
        <v>56.372</v>
      </c>
      <c r="H39" s="21">
        <f t="shared" si="16"/>
        <v>54.145000000000003</v>
      </c>
      <c r="I39" s="21">
        <f t="shared" si="16"/>
        <v>50.347000000000001</v>
      </c>
      <c r="J39" s="21">
        <f t="shared" si="16"/>
        <v>51.128</v>
      </c>
      <c r="K39" s="21">
        <f t="shared" si="16"/>
        <v>54.664999999999992</v>
      </c>
      <c r="L39" s="21">
        <f t="shared" si="16"/>
        <v>58.133999999999993</v>
      </c>
      <c r="M39" s="21">
        <f t="shared" si="16"/>
        <v>60.967999999999989</v>
      </c>
      <c r="N39" s="21">
        <f t="shared" si="16"/>
        <v>66.055000000000007</v>
      </c>
      <c r="O39" s="24">
        <f t="shared" si="16"/>
        <v>67.647999999999996</v>
      </c>
      <c r="P39" s="24">
        <f t="shared" si="16"/>
        <v>70.225999999999999</v>
      </c>
      <c r="Q39" s="24">
        <f t="shared" si="16"/>
        <v>74.350999999999999</v>
      </c>
      <c r="R39" s="24">
        <f t="shared" si="16"/>
        <v>79.134000000000015</v>
      </c>
      <c r="S39" s="24">
        <f t="shared" si="16"/>
        <v>83.141000000000005</v>
      </c>
      <c r="T39" s="26">
        <f t="shared" ca="1" si="16"/>
        <v>87.185740498911173</v>
      </c>
      <c r="U39" s="26">
        <f t="shared" ca="1" si="16"/>
        <v>91.212324910756678</v>
      </c>
      <c r="V39" s="26">
        <f t="shared" ca="1" si="16"/>
        <v>95.475727100749907</v>
      </c>
      <c r="W39" s="26">
        <f t="shared" ca="1" si="16"/>
        <v>99.869000468554518</v>
      </c>
      <c r="X39" s="26">
        <f t="shared" ca="1" si="16"/>
        <v>104.25717264462361</v>
      </c>
      <c r="Y39" s="26">
        <f t="shared" ca="1" si="16"/>
        <v>108.83441244867734</v>
      </c>
      <c r="Z39" s="26">
        <f t="shared" ca="1" si="16"/>
        <v>113.54568530297733</v>
      </c>
      <c r="AA39" s="26">
        <f t="shared" ca="1" si="16"/>
        <v>118.39430584381859</v>
      </c>
      <c r="AB39" s="26">
        <f t="shared" ca="1" si="16"/>
        <v>123.36155098876745</v>
      </c>
      <c r="AC39" s="26">
        <f t="shared" ca="1" si="16"/>
        <v>128.47330859267944</v>
      </c>
    </row>
    <row r="40" spans="1:29" x14ac:dyDescent="0.2">
      <c r="A40" s="32" t="s">
        <v>326</v>
      </c>
      <c r="F40" s="21">
        <f t="shared" ref="F40:AC40" si="17">SUM(F$153,F$156,F$166,F$169)</f>
        <v>21.525000000000002</v>
      </c>
      <c r="G40" s="21">
        <f t="shared" si="17"/>
        <v>25.106999999999999</v>
      </c>
      <c r="H40" s="21">
        <f t="shared" si="17"/>
        <v>25.361000000000001</v>
      </c>
      <c r="I40" s="21">
        <f t="shared" si="17"/>
        <v>24.377999999999997</v>
      </c>
      <c r="J40" s="21">
        <f t="shared" si="17"/>
        <v>30.434999999999999</v>
      </c>
      <c r="K40" s="21">
        <f t="shared" si="17"/>
        <v>28.817999999999998</v>
      </c>
      <c r="L40" s="21">
        <f t="shared" si="17"/>
        <v>28.521000000000001</v>
      </c>
      <c r="M40" s="21">
        <f t="shared" si="17"/>
        <v>28.231000000000002</v>
      </c>
      <c r="N40" s="21">
        <f t="shared" si="17"/>
        <v>28.957999999999998</v>
      </c>
      <c r="O40" s="24">
        <f t="shared" si="17"/>
        <v>29.157</v>
      </c>
      <c r="P40" s="24">
        <f t="shared" si="17"/>
        <v>29.942999999999998</v>
      </c>
      <c r="Q40" s="24">
        <f t="shared" si="17"/>
        <v>31.189</v>
      </c>
      <c r="R40" s="24">
        <f t="shared" si="17"/>
        <v>32.011000000000003</v>
      </c>
      <c r="S40" s="24">
        <f t="shared" si="17"/>
        <v>32.862000000000002</v>
      </c>
      <c r="T40" s="26">
        <f t="shared" ca="1" si="17"/>
        <v>34.015519000205899</v>
      </c>
      <c r="U40" s="26">
        <f t="shared" ca="1" si="17"/>
        <v>35.669734580293252</v>
      </c>
      <c r="V40" s="26">
        <f t="shared" ca="1" si="17"/>
        <v>37.396068225860496</v>
      </c>
      <c r="W40" s="26">
        <f t="shared" ca="1" si="17"/>
        <v>39.121098588916212</v>
      </c>
      <c r="X40" s="26">
        <f t="shared" ca="1" si="17"/>
        <v>40.915774002352599</v>
      </c>
      <c r="Y40" s="26">
        <f t="shared" ca="1" si="17"/>
        <v>42.766146178352059</v>
      </c>
      <c r="Z40" s="26">
        <f t="shared" ca="1" si="17"/>
        <v>44.677247615492952</v>
      </c>
      <c r="AA40" s="26">
        <f t="shared" ca="1" si="17"/>
        <v>46.628448281803564</v>
      </c>
      <c r="AB40" s="26">
        <f t="shared" ca="1" si="17"/>
        <v>48.635919008391255</v>
      </c>
      <c r="AC40" s="26">
        <f t="shared" ca="1" si="17"/>
        <v>50.694304968032668</v>
      </c>
    </row>
    <row r="41" spans="1:29" x14ac:dyDescent="0.2">
      <c r="A41" s="31" t="s">
        <v>345</v>
      </c>
      <c r="F41" s="56">
        <f>SUM(F$39:F$40)</f>
        <v>74.588999999999999</v>
      </c>
      <c r="G41" s="56">
        <f t="shared" ref="G41:AC41" si="18">SUM(G$39:G$40)</f>
        <v>81.478999999999999</v>
      </c>
      <c r="H41" s="56">
        <f t="shared" si="18"/>
        <v>79.506</v>
      </c>
      <c r="I41" s="56">
        <f t="shared" si="18"/>
        <v>74.724999999999994</v>
      </c>
      <c r="J41" s="56">
        <f t="shared" si="18"/>
        <v>81.563000000000002</v>
      </c>
      <c r="K41" s="56">
        <f t="shared" si="18"/>
        <v>83.48299999999999</v>
      </c>
      <c r="L41" s="56">
        <f t="shared" si="18"/>
        <v>86.655000000000001</v>
      </c>
      <c r="M41" s="56">
        <f t="shared" si="18"/>
        <v>89.198999999999984</v>
      </c>
      <c r="N41" s="56">
        <f t="shared" si="18"/>
        <v>95.013000000000005</v>
      </c>
      <c r="O41" s="57">
        <f t="shared" si="18"/>
        <v>96.804999999999993</v>
      </c>
      <c r="P41" s="57">
        <f t="shared" si="18"/>
        <v>100.169</v>
      </c>
      <c r="Q41" s="57">
        <f t="shared" si="18"/>
        <v>105.53999999999999</v>
      </c>
      <c r="R41" s="57">
        <f t="shared" si="18"/>
        <v>111.14500000000001</v>
      </c>
      <c r="S41" s="57">
        <f t="shared" si="18"/>
        <v>116.00300000000001</v>
      </c>
      <c r="T41" s="58">
        <f t="shared" ca="1" si="18"/>
        <v>121.20125949911707</v>
      </c>
      <c r="U41" s="58">
        <f t="shared" ca="1" si="18"/>
        <v>126.88205949104993</v>
      </c>
      <c r="V41" s="58">
        <f t="shared" ca="1" si="18"/>
        <v>132.8717953266104</v>
      </c>
      <c r="W41" s="58">
        <f t="shared" ca="1" si="18"/>
        <v>138.99009905747073</v>
      </c>
      <c r="X41" s="58">
        <f t="shared" ca="1" si="18"/>
        <v>145.17294664697621</v>
      </c>
      <c r="Y41" s="58">
        <f t="shared" ca="1" si="18"/>
        <v>151.60055862702939</v>
      </c>
      <c r="Z41" s="58">
        <f t="shared" ca="1" si="18"/>
        <v>158.22293291847029</v>
      </c>
      <c r="AA41" s="58">
        <f t="shared" ca="1" si="18"/>
        <v>165.02275412562216</v>
      </c>
      <c r="AB41" s="58">
        <f t="shared" ca="1" si="18"/>
        <v>171.9974699971587</v>
      </c>
      <c r="AC41" s="58">
        <f t="shared" ca="1" si="18"/>
        <v>179.16761356071211</v>
      </c>
    </row>
    <row r="42" spans="1:29" x14ac:dyDescent="0.2">
      <c r="A42" s="32" t="s">
        <v>349</v>
      </c>
      <c r="F42" s="21">
        <f t="shared" ref="F42:AC42" si="19">SUM(F$187,F$206,F$213,F$220,F$236,F$243)</f>
        <v>65.843999999999994</v>
      </c>
      <c r="G42" s="21">
        <f t="shared" si="19"/>
        <v>72.741</v>
      </c>
      <c r="H42" s="21">
        <f t="shared" si="19"/>
        <v>80.329000000000008</v>
      </c>
      <c r="I42" s="21">
        <f t="shared" si="19"/>
        <v>78.262999999999991</v>
      </c>
      <c r="J42" s="21">
        <f t="shared" si="19"/>
        <v>96.363000000000014</v>
      </c>
      <c r="K42" s="21">
        <f t="shared" si="19"/>
        <v>88.432999999999993</v>
      </c>
      <c r="L42" s="21">
        <f t="shared" si="19"/>
        <v>86.649000000000001</v>
      </c>
      <c r="M42" s="21">
        <f t="shared" si="19"/>
        <v>87.442000000000007</v>
      </c>
      <c r="N42" s="21">
        <f t="shared" si="19"/>
        <v>89.708999999999989</v>
      </c>
      <c r="O42" s="24">
        <f t="shared" si="19"/>
        <v>92.029999999999987</v>
      </c>
      <c r="P42" s="24">
        <f t="shared" si="19"/>
        <v>93.344999999999999</v>
      </c>
      <c r="Q42" s="24">
        <f t="shared" si="19"/>
        <v>95.292000000000016</v>
      </c>
      <c r="R42" s="24">
        <f t="shared" si="19"/>
        <v>96.499000000000009</v>
      </c>
      <c r="S42" s="24">
        <f t="shared" si="19"/>
        <v>98.123000000000005</v>
      </c>
      <c r="T42" s="26">
        <f t="shared" ca="1" si="19"/>
        <v>100.57117132265178</v>
      </c>
      <c r="U42" s="26">
        <f t="shared" ca="1" si="19"/>
        <v>103.24233481920881</v>
      </c>
      <c r="V42" s="26">
        <f t="shared" ca="1" si="19"/>
        <v>106.21642831797126</v>
      </c>
      <c r="W42" s="26">
        <f t="shared" ca="1" si="19"/>
        <v>109.37575014937944</v>
      </c>
      <c r="X42" s="26">
        <f t="shared" ca="1" si="19"/>
        <v>112.65494106411859</v>
      </c>
      <c r="Y42" s="26">
        <f t="shared" ca="1" si="19"/>
        <v>116.09583323589057</v>
      </c>
      <c r="Z42" s="26">
        <f t="shared" ca="1" si="19"/>
        <v>119.67742298396702</v>
      </c>
      <c r="AA42" s="26">
        <f t="shared" ca="1" si="19"/>
        <v>123.36878162003772</v>
      </c>
      <c r="AB42" s="26">
        <f t="shared" ca="1" si="19"/>
        <v>127.13686982214892</v>
      </c>
      <c r="AC42" s="26">
        <f t="shared" ca="1" si="19"/>
        <v>130.96805458653483</v>
      </c>
    </row>
    <row r="43" spans="1:29" x14ac:dyDescent="0.2">
      <c r="A43" s="32" t="s">
        <v>235</v>
      </c>
      <c r="F43" s="21">
        <f>F$241</f>
        <v>0</v>
      </c>
      <c r="G43" s="21">
        <f t="shared" ref="G43:AC43" si="20">G$241</f>
        <v>0</v>
      </c>
      <c r="H43" s="21">
        <f t="shared" si="20"/>
        <v>0</v>
      </c>
      <c r="I43" s="21">
        <f t="shared" si="20"/>
        <v>0</v>
      </c>
      <c r="J43" s="21">
        <f t="shared" si="20"/>
        <v>0</v>
      </c>
      <c r="K43" s="21">
        <f t="shared" si="20"/>
        <v>0</v>
      </c>
      <c r="L43" s="21">
        <f t="shared" si="20"/>
        <v>0</v>
      </c>
      <c r="M43" s="21">
        <f t="shared" si="20"/>
        <v>0</v>
      </c>
      <c r="N43" s="21">
        <f t="shared" si="20"/>
        <v>0</v>
      </c>
      <c r="O43" s="24">
        <f t="shared" si="20"/>
        <v>0.27100000000000002</v>
      </c>
      <c r="P43" s="24">
        <f t="shared" si="20"/>
        <v>1.123</v>
      </c>
      <c r="Q43" s="24">
        <f t="shared" si="20"/>
        <v>3.681</v>
      </c>
      <c r="R43" s="24">
        <f t="shared" si="20"/>
        <v>5.3650000000000002</v>
      </c>
      <c r="S43" s="24">
        <f t="shared" si="20"/>
        <v>6.9359999999999999</v>
      </c>
      <c r="T43" s="26">
        <f t="shared" ca="1" si="20"/>
        <v>8.4969999999999999</v>
      </c>
      <c r="U43" s="26">
        <f t="shared" ca="1" si="20"/>
        <v>10.089219999999999</v>
      </c>
      <c r="V43" s="26">
        <f t="shared" ca="1" si="20"/>
        <v>11.713284399999999</v>
      </c>
      <c r="W43" s="26">
        <f t="shared" ca="1" si="20"/>
        <v>13.369830087999999</v>
      </c>
      <c r="X43" s="26">
        <f t="shared" ca="1" si="20"/>
        <v>15.059506689759999</v>
      </c>
      <c r="Y43" s="26">
        <f t="shared" ca="1" si="20"/>
        <v>16.782976823555199</v>
      </c>
      <c r="Z43" s="26">
        <f t="shared" ca="1" si="20"/>
        <v>18.540916360026301</v>
      </c>
      <c r="AA43" s="26">
        <f t="shared" ca="1" si="20"/>
        <v>20.334014687226826</v>
      </c>
      <c r="AB43" s="26">
        <f t="shared" ca="1" si="20"/>
        <v>22.162974980971363</v>
      </c>
      <c r="AC43" s="26">
        <f t="shared" ca="1" si="20"/>
        <v>24.02851448059079</v>
      </c>
    </row>
    <row r="44" spans="1:29" x14ac:dyDescent="0.2">
      <c r="A44" s="3" t="s">
        <v>327</v>
      </c>
      <c r="F44" s="21">
        <f>F$227</f>
        <v>2.8850000000000002</v>
      </c>
      <c r="G44" s="21">
        <f t="shared" ref="G44:AC44" si="21">G$227</f>
        <v>3.1010000000000004</v>
      </c>
      <c r="H44" s="21">
        <f t="shared" si="21"/>
        <v>3.0699999999999994</v>
      </c>
      <c r="I44" s="21">
        <f t="shared" si="21"/>
        <v>2.7769999999999997</v>
      </c>
      <c r="J44" s="21">
        <f t="shared" si="21"/>
        <v>3.5960000000000001</v>
      </c>
      <c r="K44" s="21">
        <f t="shared" si="21"/>
        <v>4.29</v>
      </c>
      <c r="L44" s="21">
        <f t="shared" si="21"/>
        <v>4.3579999999999997</v>
      </c>
      <c r="M44" s="21">
        <f t="shared" si="21"/>
        <v>4.4000000000000004</v>
      </c>
      <c r="N44" s="21">
        <f t="shared" si="21"/>
        <v>4.5629999999999997</v>
      </c>
      <c r="O44" s="24">
        <f t="shared" si="21"/>
        <v>4.4210000000000003</v>
      </c>
      <c r="P44" s="24">
        <f t="shared" si="21"/>
        <v>4.83</v>
      </c>
      <c r="Q44" s="24">
        <f t="shared" si="21"/>
        <v>5.077</v>
      </c>
      <c r="R44" s="24">
        <f t="shared" si="21"/>
        <v>5.26</v>
      </c>
      <c r="S44" s="24">
        <f t="shared" si="21"/>
        <v>5.4079999999999995</v>
      </c>
      <c r="T44" s="26">
        <f t="shared" ca="1" si="21"/>
        <v>5.5790826858549849</v>
      </c>
      <c r="U44" s="26">
        <f t="shared" ca="1" si="21"/>
        <v>5.6231703003437854</v>
      </c>
      <c r="V44" s="26">
        <f t="shared" ca="1" si="21"/>
        <v>5.6688372671142364</v>
      </c>
      <c r="W44" s="26">
        <f t="shared" ca="1" si="21"/>
        <v>5.7256310684383083</v>
      </c>
      <c r="X44" s="26">
        <f t="shared" ca="1" si="21"/>
        <v>5.7212494958758553</v>
      </c>
      <c r="Y44" s="26">
        <f t="shared" ca="1" si="21"/>
        <v>5.6499103663500678</v>
      </c>
      <c r="Z44" s="26">
        <f t="shared" ca="1" si="21"/>
        <v>5.4982464507993587</v>
      </c>
      <c r="AA44" s="26">
        <f t="shared" ca="1" si="21"/>
        <v>5.1182013726696285</v>
      </c>
      <c r="AB44" s="26">
        <f t="shared" ca="1" si="21"/>
        <v>4.641515459579133</v>
      </c>
      <c r="AC44" s="26">
        <f t="shared" ca="1" si="21"/>
        <v>4.0630647647359179</v>
      </c>
    </row>
    <row r="45" spans="1:29" x14ac:dyDescent="0.2">
      <c r="A45" s="31" t="s">
        <v>346</v>
      </c>
      <c r="F45" s="56">
        <f>SUM(F$42:F$44)</f>
        <v>68.728999999999999</v>
      </c>
      <c r="G45" s="56">
        <f t="shared" ref="G45:AC45" si="22">SUM(G$42:G$44)</f>
        <v>75.841999999999999</v>
      </c>
      <c r="H45" s="56">
        <f t="shared" si="22"/>
        <v>83.399000000000001</v>
      </c>
      <c r="I45" s="56">
        <f t="shared" si="22"/>
        <v>81.039999999999992</v>
      </c>
      <c r="J45" s="56">
        <f t="shared" si="22"/>
        <v>99.959000000000017</v>
      </c>
      <c r="K45" s="56">
        <f t="shared" si="22"/>
        <v>92.722999999999999</v>
      </c>
      <c r="L45" s="56">
        <f t="shared" si="22"/>
        <v>91.007000000000005</v>
      </c>
      <c r="M45" s="56">
        <f t="shared" si="22"/>
        <v>91.842000000000013</v>
      </c>
      <c r="N45" s="56">
        <f t="shared" si="22"/>
        <v>94.271999999999991</v>
      </c>
      <c r="O45" s="57">
        <f t="shared" si="22"/>
        <v>96.721999999999994</v>
      </c>
      <c r="P45" s="57">
        <f t="shared" si="22"/>
        <v>99.298000000000002</v>
      </c>
      <c r="Q45" s="57">
        <f t="shared" si="22"/>
        <v>104.05000000000001</v>
      </c>
      <c r="R45" s="57">
        <f t="shared" si="22"/>
        <v>107.12400000000001</v>
      </c>
      <c r="S45" s="57">
        <f t="shared" si="22"/>
        <v>110.467</v>
      </c>
      <c r="T45" s="58">
        <f t="shared" ca="1" si="22"/>
        <v>114.64725400850676</v>
      </c>
      <c r="U45" s="58">
        <f t="shared" ca="1" si="22"/>
        <v>118.95472511955259</v>
      </c>
      <c r="V45" s="58">
        <f t="shared" ca="1" si="22"/>
        <v>123.5985499850855</v>
      </c>
      <c r="W45" s="58">
        <f t="shared" ca="1" si="22"/>
        <v>128.47121130581775</v>
      </c>
      <c r="X45" s="58">
        <f t="shared" ca="1" si="22"/>
        <v>133.43569724975444</v>
      </c>
      <c r="Y45" s="58">
        <f t="shared" ca="1" si="22"/>
        <v>138.52872042579583</v>
      </c>
      <c r="Z45" s="58">
        <f t="shared" ca="1" si="22"/>
        <v>143.71658579479268</v>
      </c>
      <c r="AA45" s="58">
        <f t="shared" ca="1" si="22"/>
        <v>148.82099767993418</v>
      </c>
      <c r="AB45" s="58">
        <f t="shared" ca="1" si="22"/>
        <v>153.94136026269942</v>
      </c>
      <c r="AC45" s="58">
        <f t="shared" ca="1" si="22"/>
        <v>159.05963383186153</v>
      </c>
    </row>
    <row r="46" spans="1:29" x14ac:dyDescent="0.2">
      <c r="A46" s="3" t="s">
        <v>774</v>
      </c>
      <c r="B46" s="4" t="s">
        <v>361</v>
      </c>
      <c r="F46" s="65">
        <f>'Fiscal Forecasts'!F$24</f>
        <v>0</v>
      </c>
      <c r="G46" s="65">
        <f>'Fiscal Forecasts'!G$24</f>
        <v>0</v>
      </c>
      <c r="H46" s="65">
        <f>'Fiscal Forecasts'!H$24</f>
        <v>0</v>
      </c>
      <c r="I46" s="65">
        <f>'Fiscal Forecasts'!I$24</f>
        <v>0</v>
      </c>
      <c r="J46" s="65">
        <f>'Fiscal Forecasts'!J$24</f>
        <v>0</v>
      </c>
      <c r="K46" s="65">
        <f>'Fiscal Forecasts'!K$24</f>
        <v>0</v>
      </c>
      <c r="L46" s="65">
        <f>'Fiscal Forecasts'!L$24</f>
        <v>-6.2E-2</v>
      </c>
      <c r="M46" s="65">
        <f>'Fiscal Forecasts'!M$24</f>
        <v>-0.159</v>
      </c>
      <c r="N46" s="65">
        <f>'Fiscal Forecasts'!N$24</f>
        <v>-0.32700000000000001</v>
      </c>
      <c r="O46" s="24">
        <f>'Fiscal Forecasts'!O$24</f>
        <v>-0.48399999999999999</v>
      </c>
      <c r="P46" s="24">
        <f>'Fiscal Forecasts'!P$24</f>
        <v>-0.51500000000000001</v>
      </c>
      <c r="Q46" s="24">
        <f>'Fiscal Forecasts'!Q$24</f>
        <v>-0.53300000000000003</v>
      </c>
      <c r="R46" s="24">
        <f>'Fiscal Forecasts'!R$24</f>
        <v>-0.53600000000000003</v>
      </c>
      <c r="S46" s="24">
        <f>'Fiscal Forecasts'!S$24</f>
        <v>-0.59099999999999997</v>
      </c>
      <c r="T46" s="26">
        <f t="shared" ref="T46:AC46" ca="1" si="23">S$46*T$406/S$406</f>
        <v>-0.60660231948488652</v>
      </c>
      <c r="U46" s="26">
        <f t="shared" ca="1" si="23"/>
        <v>-0.61239215164725447</v>
      </c>
      <c r="V46" s="26">
        <f t="shared" ca="1" si="23"/>
        <v>-0.61919367043388529</v>
      </c>
      <c r="W46" s="26">
        <f t="shared" ca="1" si="23"/>
        <v>-0.62701619343634352</v>
      </c>
      <c r="X46" s="26">
        <f t="shared" ca="1" si="23"/>
        <v>-0.63587549496857221</v>
      </c>
      <c r="Y46" s="26">
        <f t="shared" ca="1" si="23"/>
        <v>-0.64577727719032574</v>
      </c>
      <c r="Z46" s="26">
        <f t="shared" ca="1" si="23"/>
        <v>-0.65672429372616414</v>
      </c>
      <c r="AA46" s="26">
        <f t="shared" ca="1" si="23"/>
        <v>-0.66872018076421058</v>
      </c>
      <c r="AB46" s="26">
        <f t="shared" ca="1" si="23"/>
        <v>-0.68176292619013401</v>
      </c>
      <c r="AC46" s="26">
        <f t="shared" ca="1" si="23"/>
        <v>-0.6958582268486313</v>
      </c>
    </row>
    <row r="47" spans="1:29" x14ac:dyDescent="0.2">
      <c r="A47" s="31" t="s">
        <v>239</v>
      </c>
      <c r="F47" s="23">
        <f>F$41-F$45+F$46</f>
        <v>5.8599999999999994</v>
      </c>
      <c r="G47" s="23">
        <f t="shared" ref="G47:AC47" si="24">G$41-G$45+G$46</f>
        <v>5.6370000000000005</v>
      </c>
      <c r="H47" s="23">
        <f t="shared" si="24"/>
        <v>-3.8930000000000007</v>
      </c>
      <c r="I47" s="23">
        <f t="shared" si="24"/>
        <v>-6.3149999999999977</v>
      </c>
      <c r="J47" s="23">
        <f t="shared" si="24"/>
        <v>-18.396000000000015</v>
      </c>
      <c r="K47" s="23">
        <f t="shared" si="24"/>
        <v>-9.2400000000000091</v>
      </c>
      <c r="L47" s="23">
        <f t="shared" si="24"/>
        <v>-4.4140000000000041</v>
      </c>
      <c r="M47" s="23">
        <f t="shared" si="24"/>
        <v>-2.8020000000000289</v>
      </c>
      <c r="N47" s="23">
        <f t="shared" si="24"/>
        <v>0.41400000000001386</v>
      </c>
      <c r="O47" s="25">
        <f t="shared" si="24"/>
        <v>-0.40100000000000158</v>
      </c>
      <c r="P47" s="25">
        <f t="shared" si="24"/>
        <v>0.3559999999999951</v>
      </c>
      <c r="Q47" s="25">
        <f t="shared" si="24"/>
        <v>0.95699999999998064</v>
      </c>
      <c r="R47" s="25">
        <f t="shared" si="24"/>
        <v>3.4850000000000008</v>
      </c>
      <c r="S47" s="25">
        <f t="shared" si="24"/>
        <v>4.9450000000000154</v>
      </c>
      <c r="T47" s="11">
        <f t="shared" ca="1" si="24"/>
        <v>5.9474031711254218</v>
      </c>
      <c r="U47" s="11">
        <f t="shared" ca="1" si="24"/>
        <v>7.3149422198500833</v>
      </c>
      <c r="V47" s="11">
        <f t="shared" ca="1" si="24"/>
        <v>8.6540516710910129</v>
      </c>
      <c r="W47" s="11">
        <f t="shared" ca="1" si="24"/>
        <v>9.8918715582166392</v>
      </c>
      <c r="X47" s="11">
        <f t="shared" ca="1" si="24"/>
        <v>11.101373902253203</v>
      </c>
      <c r="Y47" s="11">
        <f t="shared" ca="1" si="24"/>
        <v>12.426060924043234</v>
      </c>
      <c r="Z47" s="11">
        <f t="shared" ca="1" si="24"/>
        <v>13.84962282995145</v>
      </c>
      <c r="AA47" s="11">
        <f t="shared" ca="1" si="24"/>
        <v>15.533036264923766</v>
      </c>
      <c r="AB47" s="11">
        <f t="shared" ca="1" si="24"/>
        <v>17.374346808269149</v>
      </c>
      <c r="AC47" s="11">
        <f t="shared" ca="1" si="24"/>
        <v>19.412121502001948</v>
      </c>
    </row>
    <row r="48" spans="1:29" x14ac:dyDescent="0.2">
      <c r="A48" s="3" t="s">
        <v>905</v>
      </c>
      <c r="F48" s="21">
        <f t="shared" ref="F48:AC48" si="25">SUM(F$331,F$337)</f>
        <v>2.0510000000000002</v>
      </c>
      <c r="G48" s="21">
        <f t="shared" si="25"/>
        <v>-3.5420000000000003</v>
      </c>
      <c r="H48" s="21">
        <f t="shared" si="25"/>
        <v>-6.7989999999999995</v>
      </c>
      <c r="I48" s="21">
        <f t="shared" si="25"/>
        <v>1.5619999999999996</v>
      </c>
      <c r="J48" s="21">
        <f t="shared" si="25"/>
        <v>4.6979999999999995</v>
      </c>
      <c r="K48" s="21">
        <f t="shared" si="25"/>
        <v>-5.8339999999999996</v>
      </c>
      <c r="L48" s="21">
        <f t="shared" si="25"/>
        <v>10.976000000000001</v>
      </c>
      <c r="M48" s="21">
        <f t="shared" si="25"/>
        <v>5.3599999999999994</v>
      </c>
      <c r="N48" s="21">
        <f t="shared" si="25"/>
        <v>4.5470000000000006</v>
      </c>
      <c r="O48" s="24">
        <f t="shared" si="25"/>
        <v>0.47500000000000003</v>
      </c>
      <c r="P48" s="24">
        <f t="shared" si="25"/>
        <v>2.101</v>
      </c>
      <c r="Q48" s="24">
        <f t="shared" si="25"/>
        <v>2.177</v>
      </c>
      <c r="R48" s="24">
        <f t="shared" si="25"/>
        <v>2.4140000000000001</v>
      </c>
      <c r="S48" s="24">
        <f t="shared" si="25"/>
        <v>2.5700000000000003</v>
      </c>
      <c r="T48" s="26">
        <f t="shared" ca="1" si="25"/>
        <v>2.4965997088904772</v>
      </c>
      <c r="U48" s="26">
        <f t="shared" ca="1" si="25"/>
        <v>2.6905150883796281</v>
      </c>
      <c r="V48" s="26">
        <f t="shared" ca="1" si="25"/>
        <v>2.9484705384017462</v>
      </c>
      <c r="W48" s="26">
        <f t="shared" ca="1" si="25"/>
        <v>3.255099930339409</v>
      </c>
      <c r="X48" s="26">
        <f t="shared" ca="1" si="25"/>
        <v>3.5689377066015009</v>
      </c>
      <c r="Y48" s="26">
        <f t="shared" ca="1" si="25"/>
        <v>3.8890074014881186</v>
      </c>
      <c r="Z48" s="26">
        <f t="shared" ca="1" si="25"/>
        <v>4.2136665396126114</v>
      </c>
      <c r="AA48" s="26">
        <f t="shared" ca="1" si="25"/>
        <v>4.5411500213693623</v>
      </c>
      <c r="AB48" s="26">
        <f t="shared" ca="1" si="25"/>
        <v>4.8710176564762886</v>
      </c>
      <c r="AC48" s="26">
        <f t="shared" ca="1" si="25"/>
        <v>5.2044515448059414</v>
      </c>
    </row>
    <row r="49" spans="1:29" x14ac:dyDescent="0.2">
      <c r="A49" s="3" t="s">
        <v>896</v>
      </c>
      <c r="B49" s="4" t="str">
        <f>$B$46</f>
        <v>From Fiscal Forecasts</v>
      </c>
      <c r="F49" s="65">
        <f>'Fiscal Forecasts'!F$28</f>
        <v>1.2E-2</v>
      </c>
      <c r="G49" s="65">
        <f>'Fiscal Forecasts'!G$28</f>
        <v>-6.7000000000000004E-2</v>
      </c>
      <c r="H49" s="65">
        <f>'Fiscal Forecasts'!H$28</f>
        <v>-2.5000000000000001E-2</v>
      </c>
      <c r="I49" s="65">
        <f>'Fiscal Forecasts'!I$28</f>
        <v>1.7000000000000001E-2</v>
      </c>
      <c r="J49" s="65">
        <f>'Fiscal Forecasts'!J$28</f>
        <v>0.10100000000000001</v>
      </c>
      <c r="K49" s="65">
        <f>'Fiscal Forecasts'!K$28</f>
        <v>-5.6000000000000001E-2</v>
      </c>
      <c r="L49" s="65">
        <f>'Fiscal Forecasts'!L$28</f>
        <v>-3.2000000000000001E-2</v>
      </c>
      <c r="M49" s="65">
        <f>'Fiscal Forecasts'!M$28</f>
        <v>2.1000000000000001E-2</v>
      </c>
      <c r="N49" s="65">
        <f>'Fiscal Forecasts'!N$28</f>
        <v>-0.218</v>
      </c>
      <c r="O49" s="24">
        <f>'Fiscal Forecasts'!O$28</f>
        <v>-4.2000000000000003E-2</v>
      </c>
      <c r="P49" s="24">
        <f>'Fiscal Forecasts'!P$28</f>
        <v>-1.0999999999999999E-2</v>
      </c>
      <c r="Q49" s="24">
        <f>'Fiscal Forecasts'!Q$28</f>
        <v>-0.01</v>
      </c>
      <c r="R49" s="24">
        <f>'Fiscal Forecasts'!R$28</f>
        <v>-2E-3</v>
      </c>
      <c r="S49" s="24">
        <f>'Fiscal Forecasts'!S$28</f>
        <v>-6.0000000000000001E-3</v>
      </c>
      <c r="T49" s="26">
        <f t="shared" ref="T49:AC49" ca="1" si="26">S$49*T$406/S$406</f>
        <v>-6.1583991825876804E-3</v>
      </c>
      <c r="U49" s="26">
        <f t="shared" ca="1" si="26"/>
        <v>-6.2171792045406541E-3</v>
      </c>
      <c r="V49" s="26">
        <f t="shared" ca="1" si="26"/>
        <v>-6.2862301566891906E-3</v>
      </c>
      <c r="W49" s="26">
        <f t="shared" ca="1" si="26"/>
        <v>-6.3656466338715073E-3</v>
      </c>
      <c r="X49" s="26">
        <f t="shared" ca="1" si="26"/>
        <v>-6.4555887814068246E-3</v>
      </c>
      <c r="Y49" s="26">
        <f t="shared" ca="1" si="26"/>
        <v>-6.5561144892418858E-3</v>
      </c>
      <c r="Z49" s="26">
        <f t="shared" ca="1" si="26"/>
        <v>-6.6672517129559806E-3</v>
      </c>
      <c r="AA49" s="26">
        <f t="shared" ca="1" si="26"/>
        <v>-6.7890373681645739E-3</v>
      </c>
      <c r="AB49" s="26">
        <f t="shared" ca="1" si="26"/>
        <v>-6.9214510273110054E-3</v>
      </c>
      <c r="AC49" s="26">
        <f t="shared" ca="1" si="26"/>
        <v>-7.0645505263820449E-3</v>
      </c>
    </row>
    <row r="50" spans="1:29" x14ac:dyDescent="0.2">
      <c r="A50" s="31" t="s">
        <v>242</v>
      </c>
      <c r="B50" s="4"/>
      <c r="F50" s="56">
        <f>SUM(F$48:F$49)</f>
        <v>2.0630000000000002</v>
      </c>
      <c r="G50" s="56">
        <f t="shared" ref="G50:AC50" si="27">SUM(G$48:G$49)</f>
        <v>-3.6090000000000004</v>
      </c>
      <c r="H50" s="56">
        <f t="shared" si="27"/>
        <v>-6.8239999999999998</v>
      </c>
      <c r="I50" s="56">
        <f t="shared" si="27"/>
        <v>1.5789999999999995</v>
      </c>
      <c r="J50" s="56">
        <f t="shared" si="27"/>
        <v>4.7989999999999995</v>
      </c>
      <c r="K50" s="56">
        <f t="shared" si="27"/>
        <v>-5.89</v>
      </c>
      <c r="L50" s="56">
        <f t="shared" si="27"/>
        <v>10.944000000000001</v>
      </c>
      <c r="M50" s="56">
        <f t="shared" si="27"/>
        <v>5.3809999999999993</v>
      </c>
      <c r="N50" s="56">
        <f t="shared" si="27"/>
        <v>4.3290000000000006</v>
      </c>
      <c r="O50" s="57">
        <f t="shared" si="27"/>
        <v>0.43300000000000005</v>
      </c>
      <c r="P50" s="57">
        <f t="shared" si="27"/>
        <v>2.09</v>
      </c>
      <c r="Q50" s="57">
        <f t="shared" si="27"/>
        <v>2.1670000000000003</v>
      </c>
      <c r="R50" s="57">
        <f t="shared" si="27"/>
        <v>2.4120000000000004</v>
      </c>
      <c r="S50" s="57">
        <f t="shared" si="27"/>
        <v>2.5640000000000005</v>
      </c>
      <c r="T50" s="58">
        <f t="shared" ca="1" si="27"/>
        <v>2.4904413097078897</v>
      </c>
      <c r="U50" s="58">
        <f t="shared" ca="1" si="27"/>
        <v>2.6842979091750876</v>
      </c>
      <c r="V50" s="58">
        <f t="shared" ca="1" si="27"/>
        <v>2.9421843082450572</v>
      </c>
      <c r="W50" s="58">
        <f t="shared" ca="1" si="27"/>
        <v>3.2487342837055375</v>
      </c>
      <c r="X50" s="58">
        <f t="shared" ca="1" si="27"/>
        <v>3.5624821178200943</v>
      </c>
      <c r="Y50" s="58">
        <f t="shared" ca="1" si="27"/>
        <v>3.8824512869988768</v>
      </c>
      <c r="Z50" s="58">
        <f t="shared" ca="1" si="27"/>
        <v>4.2069992878996558</v>
      </c>
      <c r="AA50" s="58">
        <f t="shared" ca="1" si="27"/>
        <v>4.5343609840011974</v>
      </c>
      <c r="AB50" s="58">
        <f t="shared" ca="1" si="27"/>
        <v>4.8640962054489778</v>
      </c>
      <c r="AC50" s="58">
        <f t="shared" ca="1" si="27"/>
        <v>5.197386994279559</v>
      </c>
    </row>
    <row r="51" spans="1:29" x14ac:dyDescent="0.2">
      <c r="A51" s="3" t="s">
        <v>243</v>
      </c>
      <c r="B51" s="4"/>
      <c r="F51" s="21">
        <f>F$341</f>
        <v>9.9000000000000005E-2</v>
      </c>
      <c r="G51" s="21">
        <f t="shared" ref="G51:AC51" si="28">G$341</f>
        <v>0.35600000000000004</v>
      </c>
      <c r="H51" s="21">
        <f t="shared" si="28"/>
        <v>0.21199999999999999</v>
      </c>
      <c r="I51" s="21">
        <f t="shared" si="28"/>
        <v>0.22700000000000001</v>
      </c>
      <c r="J51" s="21">
        <f t="shared" si="28"/>
        <v>0.23699999999999999</v>
      </c>
      <c r="K51" s="21">
        <f t="shared" si="28"/>
        <v>0.23300000000000001</v>
      </c>
      <c r="L51" s="21">
        <f t="shared" si="28"/>
        <v>0.39500000000000002</v>
      </c>
      <c r="M51" s="21">
        <f t="shared" si="28"/>
        <v>0.36</v>
      </c>
      <c r="N51" s="21">
        <f t="shared" si="28"/>
        <v>1.028</v>
      </c>
      <c r="O51" s="24">
        <f t="shared" si="28"/>
        <v>0.26600000000000001</v>
      </c>
      <c r="P51" s="24">
        <f t="shared" si="28"/>
        <v>0.27900000000000003</v>
      </c>
      <c r="Q51" s="24">
        <f t="shared" si="28"/>
        <v>0.27900000000000003</v>
      </c>
      <c r="R51" s="24">
        <f t="shared" si="28"/>
        <v>0.28100000000000003</v>
      </c>
      <c r="S51" s="24">
        <f t="shared" si="28"/>
        <v>0.28299999999999997</v>
      </c>
      <c r="T51" s="26">
        <f t="shared" ca="1" si="28"/>
        <v>0.2955687806247958</v>
      </c>
      <c r="U51" s="26">
        <f t="shared" ca="1" si="28"/>
        <v>0.30867151939751253</v>
      </c>
      <c r="V51" s="26">
        <f t="shared" ca="1" si="28"/>
        <v>0.32252791294626137</v>
      </c>
      <c r="W51" s="26">
        <f t="shared" ca="1" si="28"/>
        <v>0.33689938208849934</v>
      </c>
      <c r="X51" s="26">
        <f t="shared" ca="1" si="28"/>
        <v>0.35186355938111236</v>
      </c>
      <c r="Y51" s="26">
        <f t="shared" ca="1" si="28"/>
        <v>0.36731155061990328</v>
      </c>
      <c r="Z51" s="26">
        <f t="shared" ca="1" si="28"/>
        <v>0.38321189774882664</v>
      </c>
      <c r="AA51" s="26">
        <f t="shared" ca="1" si="28"/>
        <v>0.39957578752554368</v>
      </c>
      <c r="AB51" s="26">
        <f t="shared" ca="1" si="28"/>
        <v>0.41634003033671085</v>
      </c>
      <c r="AC51" s="26">
        <f t="shared" ca="1" si="28"/>
        <v>0.43359199660033554</v>
      </c>
    </row>
    <row r="52" spans="1:29" x14ac:dyDescent="0.2">
      <c r="A52" s="31" t="s">
        <v>895</v>
      </c>
      <c r="F52" s="56">
        <f>SUM(F$47,F$50,F$51)</f>
        <v>8.0220000000000002</v>
      </c>
      <c r="G52" s="56">
        <f>SUM(G$47,G$50,G$51)</f>
        <v>2.3839999999999999</v>
      </c>
      <c r="H52" s="56">
        <f>SUM(H$47,H$50,H$51)</f>
        <v>-10.505000000000001</v>
      </c>
      <c r="I52" s="56">
        <f t="shared" ref="I52:AC52" si="29">SUM(I$47,I$50,I$51)</f>
        <v>-4.5089999999999977</v>
      </c>
      <c r="J52" s="56">
        <f t="shared" si="29"/>
        <v>-13.360000000000015</v>
      </c>
      <c r="K52" s="56">
        <f t="shared" si="29"/>
        <v>-14.897000000000009</v>
      </c>
      <c r="L52" s="56">
        <f t="shared" si="29"/>
        <v>6.9249999999999972</v>
      </c>
      <c r="M52" s="56">
        <f t="shared" si="29"/>
        <v>2.9389999999999703</v>
      </c>
      <c r="N52" s="56">
        <f t="shared" si="29"/>
        <v>5.771000000000015</v>
      </c>
      <c r="O52" s="57">
        <f t="shared" si="29"/>
        <v>0.29799999999999849</v>
      </c>
      <c r="P52" s="57">
        <f t="shared" si="29"/>
        <v>2.7249999999999948</v>
      </c>
      <c r="Q52" s="57">
        <f t="shared" si="29"/>
        <v>3.4029999999999809</v>
      </c>
      <c r="R52" s="57">
        <f t="shared" si="29"/>
        <v>6.1780000000000008</v>
      </c>
      <c r="S52" s="57">
        <f t="shared" si="29"/>
        <v>7.7920000000000167</v>
      </c>
      <c r="T52" s="58">
        <f t="shared" ca="1" si="29"/>
        <v>8.7334132614581073</v>
      </c>
      <c r="U52" s="58">
        <f t="shared" ca="1" si="29"/>
        <v>10.307911648422683</v>
      </c>
      <c r="V52" s="58">
        <f t="shared" ca="1" si="29"/>
        <v>11.918763892282332</v>
      </c>
      <c r="W52" s="58">
        <f t="shared" ca="1" si="29"/>
        <v>13.477505224010677</v>
      </c>
      <c r="X52" s="58">
        <f t="shared" ca="1" si="29"/>
        <v>15.015719579454409</v>
      </c>
      <c r="Y52" s="58">
        <f t="shared" ca="1" si="29"/>
        <v>16.675823761662013</v>
      </c>
      <c r="Z52" s="58">
        <f t="shared" ca="1" si="29"/>
        <v>18.439834015599931</v>
      </c>
      <c r="AA52" s="58">
        <f t="shared" ca="1" si="29"/>
        <v>20.466973036450504</v>
      </c>
      <c r="AB52" s="58">
        <f t="shared" ca="1" si="29"/>
        <v>22.654783044054838</v>
      </c>
      <c r="AC52" s="58">
        <f t="shared" ca="1" si="29"/>
        <v>25.043100492881841</v>
      </c>
    </row>
    <row r="53" spans="1:29" x14ac:dyDescent="0.2">
      <c r="A53" s="32" t="s">
        <v>897</v>
      </c>
      <c r="F53" s="21">
        <f t="shared" ref="F53:Q53" si="30">F$52-SUM(F$46,F$49)</f>
        <v>8.01</v>
      </c>
      <c r="G53" s="21">
        <f t="shared" si="30"/>
        <v>2.4510000000000001</v>
      </c>
      <c r="H53" s="21">
        <f t="shared" si="30"/>
        <v>-10.48</v>
      </c>
      <c r="I53" s="21">
        <f t="shared" si="30"/>
        <v>-4.525999999999998</v>
      </c>
      <c r="J53" s="21">
        <f t="shared" si="30"/>
        <v>-13.461000000000016</v>
      </c>
      <c r="K53" s="21">
        <f t="shared" si="30"/>
        <v>-14.84100000000001</v>
      </c>
      <c r="L53" s="21">
        <f t="shared" si="30"/>
        <v>7.0189999999999975</v>
      </c>
      <c r="M53" s="21">
        <f t="shared" si="30"/>
        <v>3.0769999999999702</v>
      </c>
      <c r="N53" s="21">
        <f t="shared" si="30"/>
        <v>6.3160000000000149</v>
      </c>
      <c r="O53" s="24">
        <f t="shared" si="30"/>
        <v>0.82399999999999851</v>
      </c>
      <c r="P53" s="24">
        <f t="shared" si="30"/>
        <v>3.250999999999995</v>
      </c>
      <c r="Q53" s="24">
        <f t="shared" si="30"/>
        <v>3.9459999999999811</v>
      </c>
      <c r="R53" s="24">
        <f>R$52-SUM(R$46,R$49)</f>
        <v>6.7160000000000011</v>
      </c>
      <c r="S53" s="24">
        <f>S$52-SUM(S$46,S$49)</f>
        <v>8.3890000000000171</v>
      </c>
      <c r="T53" s="26">
        <f t="shared" ref="T53:AC53" ca="1" si="31">T$52-SUM(T$46,T$49)</f>
        <v>9.346173980125581</v>
      </c>
      <c r="U53" s="26">
        <f t="shared" ca="1" si="31"/>
        <v>10.926520979274478</v>
      </c>
      <c r="V53" s="26">
        <f t="shared" ca="1" si="31"/>
        <v>12.544243792872907</v>
      </c>
      <c r="W53" s="26">
        <f t="shared" ca="1" si="31"/>
        <v>14.110887064080892</v>
      </c>
      <c r="X53" s="26">
        <f t="shared" ca="1" si="31"/>
        <v>15.658050663204389</v>
      </c>
      <c r="Y53" s="26">
        <f t="shared" ca="1" si="31"/>
        <v>17.328157153341582</v>
      </c>
      <c r="Z53" s="26">
        <f t="shared" ca="1" si="31"/>
        <v>19.10322556103905</v>
      </c>
      <c r="AA53" s="26">
        <f t="shared" ca="1" si="31"/>
        <v>21.14248225458288</v>
      </c>
      <c r="AB53" s="26">
        <f t="shared" ca="1" si="31"/>
        <v>23.343467421272283</v>
      </c>
      <c r="AC53" s="26">
        <f t="shared" ca="1" si="31"/>
        <v>25.746023270256856</v>
      </c>
    </row>
    <row r="54" spans="1:29" x14ac:dyDescent="0.2">
      <c r="A54" s="5" t="s">
        <v>893</v>
      </c>
      <c r="F54" s="7" t="str">
        <f>IF(ROUND(SUM(F$194,F$246,F$252,F$262,F$270,F$273,F$276,F$283,F$289,F$296,F$299,F$302,F$308,F$311,F$227,F$241,F$243)-SUM(F$187,F$206,F$213,F$220,F$227,F$236,F$241,F$243),3)=0,"OK","ERROR")</f>
        <v>OK</v>
      </c>
      <c r="G54" s="7" t="str">
        <f t="shared" ref="G54:AC54" si="32">IF(ROUND(SUM(G$194,G$246,G$252,G$262,G$270,G$273,G$276,G$283,G$289,G$296,G$299,G$302,G$308,G$311,G$227,G$241,G$243)-SUM(G$187,G$206,G$213,G$220,G$227,G$236,G$241,G$243),3)=0,"OK","ERROR")</f>
        <v>OK</v>
      </c>
      <c r="H54" s="7" t="str">
        <f t="shared" si="32"/>
        <v>OK</v>
      </c>
      <c r="I54" s="7" t="str">
        <f t="shared" si="32"/>
        <v>OK</v>
      </c>
      <c r="J54" s="7" t="str">
        <f t="shared" si="32"/>
        <v>OK</v>
      </c>
      <c r="K54" s="7" t="str">
        <f t="shared" si="32"/>
        <v>OK</v>
      </c>
      <c r="L54" s="7" t="str">
        <f t="shared" si="32"/>
        <v>OK</v>
      </c>
      <c r="M54" s="7" t="str">
        <f t="shared" si="32"/>
        <v>OK</v>
      </c>
      <c r="N54" s="7" t="str">
        <f t="shared" si="32"/>
        <v>OK</v>
      </c>
      <c r="O54" s="7" t="str">
        <f t="shared" si="32"/>
        <v>OK</v>
      </c>
      <c r="P54" s="7" t="str">
        <f t="shared" si="32"/>
        <v>OK</v>
      </c>
      <c r="Q54" s="7" t="str">
        <f t="shared" si="32"/>
        <v>OK</v>
      </c>
      <c r="R54" s="7" t="str">
        <f t="shared" si="32"/>
        <v>OK</v>
      </c>
      <c r="S54" s="7" t="str">
        <f t="shared" si="32"/>
        <v>OK</v>
      </c>
      <c r="T54" s="7" t="str">
        <f t="shared" ca="1" si="32"/>
        <v>OK</v>
      </c>
      <c r="U54" s="7" t="str">
        <f t="shared" ca="1" si="32"/>
        <v>OK</v>
      </c>
      <c r="V54" s="7" t="str">
        <f t="shared" ca="1" si="32"/>
        <v>OK</v>
      </c>
      <c r="W54" s="7" t="str">
        <f t="shared" ca="1" si="32"/>
        <v>OK</v>
      </c>
      <c r="X54" s="7" t="str">
        <f t="shared" ca="1" si="32"/>
        <v>OK</v>
      </c>
      <c r="Y54" s="7" t="str">
        <f t="shared" ca="1" si="32"/>
        <v>OK</v>
      </c>
      <c r="Z54" s="7" t="str">
        <f t="shared" ca="1" si="32"/>
        <v>OK</v>
      </c>
      <c r="AA54" s="7" t="str">
        <f t="shared" ca="1" si="32"/>
        <v>OK</v>
      </c>
      <c r="AB54" s="7" t="str">
        <f t="shared" ca="1" si="32"/>
        <v>OK</v>
      </c>
      <c r="AC54" s="7" t="str">
        <f t="shared" ca="1" si="32"/>
        <v>OK</v>
      </c>
    </row>
    <row r="55" spans="1:29" x14ac:dyDescent="0.2">
      <c r="A55" s="31" t="s">
        <v>793</v>
      </c>
      <c r="F55" s="23">
        <f t="shared" ref="F55:AC55" si="33">SUM(F$142,F$149,F$155,F$162,F$168)</f>
        <v>58.210999999999999</v>
      </c>
      <c r="G55" s="23">
        <f t="shared" si="33"/>
        <v>61.819000000000003</v>
      </c>
      <c r="H55" s="23">
        <f t="shared" si="33"/>
        <v>59.481999999999999</v>
      </c>
      <c r="I55" s="23">
        <f t="shared" si="33"/>
        <v>56.216000000000001</v>
      </c>
      <c r="J55" s="23">
        <f t="shared" si="33"/>
        <v>57.55</v>
      </c>
      <c r="K55" s="23">
        <f t="shared" si="33"/>
        <v>60.565000000000005</v>
      </c>
      <c r="L55" s="23">
        <f t="shared" si="33"/>
        <v>64.149000000000001</v>
      </c>
      <c r="M55" s="23">
        <f t="shared" si="33"/>
        <v>67.093000000000004</v>
      </c>
      <c r="N55" s="23">
        <f t="shared" si="33"/>
        <v>72.212999999999994</v>
      </c>
      <c r="O55" s="25">
        <f t="shared" si="33"/>
        <v>74.338000000000008</v>
      </c>
      <c r="P55" s="25">
        <f t="shared" si="33"/>
        <v>77.010000000000005</v>
      </c>
      <c r="Q55" s="25">
        <f t="shared" si="33"/>
        <v>81.391999999999996</v>
      </c>
      <c r="R55" s="25">
        <f t="shared" si="33"/>
        <v>86.51</v>
      </c>
      <c r="S55" s="25">
        <f t="shared" si="33"/>
        <v>90.818000000000012</v>
      </c>
      <c r="T55" s="11">
        <f t="shared" ca="1" si="33"/>
        <v>94.840229942457157</v>
      </c>
      <c r="U55" s="11">
        <f t="shared" ca="1" si="33"/>
        <v>99.316427815712231</v>
      </c>
      <c r="V55" s="11">
        <f t="shared" ca="1" si="33"/>
        <v>104.04591791337887</v>
      </c>
      <c r="W55" s="11">
        <f t="shared" ca="1" si="33"/>
        <v>108.89464542796451</v>
      </c>
      <c r="X55" s="11">
        <f t="shared" ca="1" si="33"/>
        <v>113.75362121978917</v>
      </c>
      <c r="Y55" s="11">
        <f t="shared" ca="1" si="33"/>
        <v>118.811414805944</v>
      </c>
      <c r="Z55" s="11">
        <f t="shared" ca="1" si="33"/>
        <v>124.01302710351278</v>
      </c>
      <c r="AA55" s="11">
        <f t="shared" ca="1" si="33"/>
        <v>129.36740839759679</v>
      </c>
      <c r="AB55" s="11">
        <f t="shared" ca="1" si="33"/>
        <v>134.847675585866</v>
      </c>
      <c r="AC55" s="11">
        <f t="shared" ca="1" si="33"/>
        <v>140.48647946290313</v>
      </c>
    </row>
    <row r="56" spans="1:29" x14ac:dyDescent="0.2">
      <c r="A56" s="31" t="s">
        <v>794</v>
      </c>
      <c r="F56" s="23">
        <f>SUM(F$188,F$202,F$209,F$216,F$223,F$232,F$241,F$243)</f>
        <v>54.003999999999998</v>
      </c>
      <c r="G56" s="23">
        <f t="shared" ref="G56:AC56" si="34">SUM(G$188,G$202,G$209,G$216,G$223,G$232,G$241,G$243)</f>
        <v>56.997</v>
      </c>
      <c r="H56" s="23">
        <f t="shared" si="34"/>
        <v>64.00200000000001</v>
      </c>
      <c r="I56" s="23">
        <f t="shared" si="34"/>
        <v>64.012999999999991</v>
      </c>
      <c r="J56" s="23">
        <f t="shared" si="34"/>
        <v>70.45</v>
      </c>
      <c r="K56" s="23">
        <f t="shared" si="34"/>
        <v>69.058999999999997</v>
      </c>
      <c r="L56" s="23">
        <f t="shared" si="34"/>
        <v>70.31</v>
      </c>
      <c r="M56" s="23">
        <f t="shared" si="34"/>
        <v>71.174000000000007</v>
      </c>
      <c r="N56" s="23">
        <f t="shared" si="34"/>
        <v>72.363</v>
      </c>
      <c r="O56" s="25">
        <f t="shared" si="34"/>
        <v>74.911000000000001</v>
      </c>
      <c r="P56" s="25">
        <f t="shared" si="34"/>
        <v>76.828000000000003</v>
      </c>
      <c r="Q56" s="25">
        <f t="shared" si="34"/>
        <v>80.656999999999996</v>
      </c>
      <c r="R56" s="25">
        <f t="shared" si="34"/>
        <v>83.284999999999997</v>
      </c>
      <c r="S56" s="25">
        <f t="shared" si="34"/>
        <v>86.158999999999992</v>
      </c>
      <c r="T56" s="11">
        <f t="shared" ca="1" si="34"/>
        <v>88.797200200362624</v>
      </c>
      <c r="U56" s="11">
        <f t="shared" ca="1" si="34"/>
        <v>92.0083716319117</v>
      </c>
      <c r="V56" s="11">
        <f t="shared" ca="1" si="34"/>
        <v>95.502121501067435</v>
      </c>
      <c r="W56" s="11">
        <f t="shared" ca="1" si="34"/>
        <v>99.166312869617613</v>
      </c>
      <c r="X56" s="11">
        <f t="shared" ca="1" si="34"/>
        <v>102.90232629694451</v>
      </c>
      <c r="Y56" s="11">
        <f t="shared" ca="1" si="34"/>
        <v>106.71779248477429</v>
      </c>
      <c r="Z56" s="11">
        <f t="shared" ca="1" si="34"/>
        <v>110.59411426449736</v>
      </c>
      <c r="AA56" s="11">
        <f t="shared" ca="1" si="34"/>
        <v>114.36361189098847</v>
      </c>
      <c r="AB56" s="11">
        <f t="shared" ca="1" si="34"/>
        <v>118.11219683059799</v>
      </c>
      <c r="AC56" s="11">
        <f t="shared" ca="1" si="34"/>
        <v>121.81537058979329</v>
      </c>
    </row>
    <row r="57" spans="1:29" x14ac:dyDescent="0.2">
      <c r="A57" s="31" t="s">
        <v>795</v>
      </c>
      <c r="F57" s="23">
        <f t="shared" ref="F57:AC57" si="35">SUM(F$55-F$56,F$327,F$338,F$340)</f>
        <v>6.5100000000000016</v>
      </c>
      <c r="G57" s="23">
        <f t="shared" si="35"/>
        <v>3.8890000000000029</v>
      </c>
      <c r="H57" s="23">
        <f t="shared" si="35"/>
        <v>-5.8610000000000095</v>
      </c>
      <c r="I57" s="23">
        <f t="shared" si="35"/>
        <v>-6.9989999999999908</v>
      </c>
      <c r="J57" s="23">
        <f t="shared" si="35"/>
        <v>-9.2690000000000055</v>
      </c>
      <c r="K57" s="23">
        <f t="shared" si="35"/>
        <v>-11.653999999999993</v>
      </c>
      <c r="L57" s="23">
        <f t="shared" si="35"/>
        <v>0.37099999999999911</v>
      </c>
      <c r="M57" s="23">
        <f t="shared" si="35"/>
        <v>0.29199999999999687</v>
      </c>
      <c r="N57" s="23">
        <f t="shared" si="35"/>
        <v>3.8789999999999947</v>
      </c>
      <c r="O57" s="25">
        <f t="shared" si="35"/>
        <v>-0.20299999999999324</v>
      </c>
      <c r="P57" s="25">
        <f t="shared" si="35"/>
        <v>2.2950000000000021</v>
      </c>
      <c r="Q57" s="25">
        <f t="shared" si="35"/>
        <v>2.9799999999999991</v>
      </c>
      <c r="R57" s="25">
        <f t="shared" si="35"/>
        <v>5.6300000000000088</v>
      </c>
      <c r="S57" s="25">
        <f t="shared" si="35"/>
        <v>7.2320000000000206</v>
      </c>
      <c r="T57" s="11">
        <f t="shared" ca="1" si="35"/>
        <v>8.4047607809923282</v>
      </c>
      <c r="U57" s="11">
        <f t="shared" ca="1" si="35"/>
        <v>9.8638011133687193</v>
      </c>
      <c r="V57" s="11">
        <f t="shared" ca="1" si="35"/>
        <v>11.364080296753698</v>
      </c>
      <c r="W57" s="11">
        <f t="shared" ca="1" si="35"/>
        <v>12.866210599090724</v>
      </c>
      <c r="X57" s="11">
        <f t="shared" ca="1" si="35"/>
        <v>14.314650029462314</v>
      </c>
      <c r="Y57" s="11">
        <f t="shared" ca="1" si="35"/>
        <v>15.888744275924118</v>
      </c>
      <c r="Z57" s="11">
        <f t="shared" ca="1" si="35"/>
        <v>17.549627706199381</v>
      </c>
      <c r="AA57" s="11">
        <f t="shared" ca="1" si="35"/>
        <v>19.47251854880361</v>
      </c>
      <c r="AB57" s="11">
        <f t="shared" ca="1" si="35"/>
        <v>21.544321383917485</v>
      </c>
      <c r="AC57" s="11">
        <f t="shared" ca="1" si="35"/>
        <v>23.823276183939786</v>
      </c>
    </row>
    <row r="58" spans="1:29" x14ac:dyDescent="0.2">
      <c r="A58" s="31" t="s">
        <v>1198</v>
      </c>
      <c r="F58" s="23">
        <f>F$55-F$162-(F$56-F$223)</f>
        <v>3.9570000000000007</v>
      </c>
      <c r="G58" s="23">
        <f t="shared" ref="G58:AC58" si="36">G$55-G$162-(G$56-G$223)</f>
        <v>4.9380000000000024</v>
      </c>
      <c r="H58" s="23">
        <f t="shared" si="36"/>
        <v>-3.9630000000000081</v>
      </c>
      <c r="I58" s="23">
        <f t="shared" si="36"/>
        <v>-7.620999999999988</v>
      </c>
      <c r="J58" s="23">
        <f t="shared" si="36"/>
        <v>-12.003</v>
      </c>
      <c r="K58" s="23">
        <f t="shared" si="36"/>
        <v>-6.7779999999999987</v>
      </c>
      <c r="L58" s="23">
        <f t="shared" si="36"/>
        <v>-4.644999999999996</v>
      </c>
      <c r="M58" s="23">
        <f t="shared" si="36"/>
        <v>-2.7860000000000014</v>
      </c>
      <c r="N58" s="23">
        <f t="shared" si="36"/>
        <v>1.1809999999999974</v>
      </c>
      <c r="O58" s="25">
        <f t="shared" si="36"/>
        <v>0.24400000000001398</v>
      </c>
      <c r="P58" s="25">
        <f t="shared" si="36"/>
        <v>1.2129999999999939</v>
      </c>
      <c r="Q58" s="25">
        <f t="shared" si="36"/>
        <v>1.679000000000002</v>
      </c>
      <c r="R58" s="25">
        <f t="shared" si="36"/>
        <v>4.0500000000000114</v>
      </c>
      <c r="S58" s="25">
        <f t="shared" si="36"/>
        <v>5.40300000000002</v>
      </c>
      <c r="T58" s="11">
        <f t="shared" ca="1" si="36"/>
        <v>7.1406157738568368</v>
      </c>
      <c r="U58" s="11">
        <f t="shared" ca="1" si="36"/>
        <v>8.1902717106806762</v>
      </c>
      <c r="V58" s="11">
        <f t="shared" ca="1" si="36"/>
        <v>9.2079005885586298</v>
      </c>
      <c r="W58" s="11">
        <f t="shared" ca="1" si="36"/>
        <v>10.201122458399837</v>
      </c>
      <c r="X58" s="11">
        <f t="shared" ca="1" si="36"/>
        <v>11.061259576117052</v>
      </c>
      <c r="Y58" s="11">
        <f t="shared" ca="1" si="36"/>
        <v>11.964090836179125</v>
      </c>
      <c r="Z58" s="11">
        <f t="shared" ca="1" si="36"/>
        <v>12.859478024322854</v>
      </c>
      <c r="AA58" s="11">
        <f t="shared" ca="1" si="36"/>
        <v>13.792599902233874</v>
      </c>
      <c r="AB58" s="11">
        <f t="shared" ca="1" si="36"/>
        <v>14.772054463538424</v>
      </c>
      <c r="AC58" s="11">
        <f t="shared" ca="1" si="36"/>
        <v>15.844622314492781</v>
      </c>
    </row>
    <row r="59" spans="1:29" x14ac:dyDescent="0.2">
      <c r="A59" s="31" t="s">
        <v>806</v>
      </c>
      <c r="F59" s="23">
        <f>F$469</f>
        <v>2.7919999999999998</v>
      </c>
      <c r="G59" s="23">
        <f t="shared" ref="G59:AC59" si="37">G$469</f>
        <v>2.0570000000000004</v>
      </c>
      <c r="H59" s="23">
        <f t="shared" si="37"/>
        <v>-8.6390000000000029</v>
      </c>
      <c r="I59" s="23">
        <f t="shared" si="37"/>
        <v>-8.9999999999999911</v>
      </c>
      <c r="J59" s="23">
        <f t="shared" si="37"/>
        <v>-13.342999999999996</v>
      </c>
      <c r="K59" s="23">
        <f t="shared" si="37"/>
        <v>-10.644</v>
      </c>
      <c r="L59" s="23">
        <f t="shared" si="37"/>
        <v>-5.7420000000000018</v>
      </c>
      <c r="M59" s="23">
        <f t="shared" si="37"/>
        <v>-4.1090000000000009</v>
      </c>
      <c r="N59" s="23">
        <f t="shared" si="37"/>
        <v>-1.8269999999999968</v>
      </c>
      <c r="O59" s="25">
        <f t="shared" si="37"/>
        <v>-5.3980000000000095</v>
      </c>
      <c r="P59" s="25">
        <f t="shared" si="37"/>
        <v>-4.6620000000000026</v>
      </c>
      <c r="Q59" s="25">
        <f t="shared" si="37"/>
        <v>-2.7789999999999941</v>
      </c>
      <c r="R59" s="25">
        <f t="shared" si="37"/>
        <v>0.52299999999998814</v>
      </c>
      <c r="S59" s="25">
        <f t="shared" si="37"/>
        <v>1.9300000000000068</v>
      </c>
      <c r="T59" s="11">
        <f t="shared" ca="1" si="37"/>
        <v>3.4529123219523878</v>
      </c>
      <c r="U59" s="11">
        <f t="shared" ca="1" si="37"/>
        <v>4.6704299849296289</v>
      </c>
      <c r="V59" s="11">
        <f t="shared" ca="1" si="37"/>
        <v>3.1040807384022395</v>
      </c>
      <c r="W59" s="11">
        <f t="shared" ca="1" si="37"/>
        <v>4.4166387699985972</v>
      </c>
      <c r="X59" s="11">
        <f t="shared" ca="1" si="37"/>
        <v>5.637897465296251</v>
      </c>
      <c r="Y59" s="11">
        <f t="shared" ca="1" si="37"/>
        <v>7.0195999023597313</v>
      </c>
      <c r="Z59" s="11">
        <f t="shared" ca="1" si="37"/>
        <v>8.5295642992235052</v>
      </c>
      <c r="AA59" s="11">
        <f t="shared" ca="1" si="37"/>
        <v>10.294034379609471</v>
      </c>
      <c r="AB59" s="11">
        <f t="shared" ca="1" si="37"/>
        <v>12.193591051330536</v>
      </c>
      <c r="AC59" s="11">
        <f t="shared" ca="1" si="37"/>
        <v>14.254411961611613</v>
      </c>
    </row>
    <row r="60" spans="1:29" x14ac:dyDescent="0.2">
      <c r="A60" s="5" t="s">
        <v>894</v>
      </c>
      <c r="F60" s="7" t="str">
        <f>IF(ROUND(SUM(F$191,F$245,F$249,F$258,F$269,F$272,F$275,F$279,F$288,F$295,F$298,F$301,F$307,F$310,F$223,F$241,F$243)-SUM(F$188,F$202,F$209,F$216,F$223,F$232,F$241,F$243),3)=0,"OK","ERROR")</f>
        <v>OK</v>
      </c>
      <c r="G60" s="7" t="str">
        <f t="shared" ref="G60:AC60" si="38">IF(ROUND(SUM(G$191,G$245,G$249,G$258,G$269,G$272,G$275,G$279,G$288,G$295,G$298,G$301,G$307,G$310,G$223,G$241,G$243)-SUM(G$188,G$202,G$209,G$216,G$223,G$232,G$241,G$243),3)=0,"OK","ERROR")</f>
        <v>OK</v>
      </c>
      <c r="H60" s="7" t="str">
        <f t="shared" si="38"/>
        <v>OK</v>
      </c>
      <c r="I60" s="7" t="str">
        <f t="shared" si="38"/>
        <v>OK</v>
      </c>
      <c r="J60" s="7" t="str">
        <f t="shared" si="38"/>
        <v>OK</v>
      </c>
      <c r="K60" s="7" t="str">
        <f>IF(ROUND(SUM(K$191,K$245,K$249,K$258,K$269,K$272,K$275,K$279,K$288,K$295,K$298,K$301,K$307,K$310,K$223,K$241,K$243)-SUM(K$188,K$202,K$209,K$216,K$223,K$232,K$241,K$243)-0.017,3)=0,"OK","ERROR")</f>
        <v>OK</v>
      </c>
      <c r="L60" s="7" t="str">
        <f>IF(ROUND(SUM(L$191,L$245,L$249,L$258,L$269,L$272,L$275,L$279,L$288,L$295,L$298,L$301,L$307,L$310,L$223,L$241,L$243)-SUM(L$188,L$202,L$209,L$216,L$223,L$232,L$241,L$243)--0.003,3)=0,"OK","ERROR")</f>
        <v>OK</v>
      </c>
      <c r="M60" s="7" t="str">
        <f t="shared" si="38"/>
        <v>OK</v>
      </c>
      <c r="N60" s="7" t="str">
        <f t="shared" si="38"/>
        <v>OK</v>
      </c>
      <c r="O60" s="7" t="str">
        <f t="shared" si="38"/>
        <v>OK</v>
      </c>
      <c r="P60" s="7" t="str">
        <f t="shared" si="38"/>
        <v>OK</v>
      </c>
      <c r="Q60" s="7" t="str">
        <f t="shared" si="38"/>
        <v>OK</v>
      </c>
      <c r="R60" s="7" t="str">
        <f t="shared" si="38"/>
        <v>OK</v>
      </c>
      <c r="S60" s="7" t="str">
        <f>IF(ROUND(SUM(S$191,S$245,S$249,S$258,S$269,S$272,S$275,S$279,S$288,S$295,S$298,S$301,S$307,S$310,S$223,S$241,S$243)-SUM(S$188,S$202,S$209,S$216,S$223,S$232,S$241,S$243)-0.001,3)=0,"OK","ERROR")</f>
        <v>OK</v>
      </c>
      <c r="T60" s="7" t="str">
        <f t="shared" ca="1" si="38"/>
        <v>OK</v>
      </c>
      <c r="U60" s="7" t="str">
        <f t="shared" ca="1" si="38"/>
        <v>OK</v>
      </c>
      <c r="V60" s="7" t="str">
        <f t="shared" ca="1" si="38"/>
        <v>OK</v>
      </c>
      <c r="W60" s="7" t="str">
        <f t="shared" ca="1" si="38"/>
        <v>OK</v>
      </c>
      <c r="X60" s="7" t="str">
        <f t="shared" ca="1" si="38"/>
        <v>OK</v>
      </c>
      <c r="Y60" s="7" t="str">
        <f t="shared" ca="1" si="38"/>
        <v>OK</v>
      </c>
      <c r="Z60" s="7" t="str">
        <f t="shared" ca="1" si="38"/>
        <v>OK</v>
      </c>
      <c r="AA60" s="7" t="str">
        <f t="shared" ca="1" si="38"/>
        <v>OK</v>
      </c>
      <c r="AB60" s="7" t="str">
        <f t="shared" ca="1" si="38"/>
        <v>OK</v>
      </c>
      <c r="AC60" s="7" t="str">
        <f t="shared" ca="1" si="38"/>
        <v>OK</v>
      </c>
    </row>
    <row r="61" spans="1:29" ht="15.75" x14ac:dyDescent="0.25">
      <c r="A61" s="1" t="s">
        <v>348</v>
      </c>
      <c r="F61" s="26"/>
      <c r="G61" s="26"/>
      <c r="H61" s="26"/>
      <c r="I61" s="26"/>
      <c r="J61" s="26"/>
      <c r="K61" s="26"/>
      <c r="L61" s="26"/>
      <c r="M61" s="26"/>
      <c r="N61" s="26"/>
      <c r="O61" s="26"/>
      <c r="P61" s="26"/>
      <c r="Q61" s="26"/>
      <c r="R61" s="26"/>
      <c r="S61" s="13"/>
      <c r="T61" s="26"/>
      <c r="U61" s="26"/>
      <c r="V61" s="26"/>
      <c r="W61" s="26"/>
      <c r="X61" s="26"/>
      <c r="Y61" s="26"/>
      <c r="Z61" s="26"/>
      <c r="AA61" s="26"/>
      <c r="AB61" s="26"/>
      <c r="AC61" s="26"/>
    </row>
    <row r="62" spans="1:29" x14ac:dyDescent="0.2">
      <c r="A62" s="3" t="s">
        <v>350</v>
      </c>
      <c r="F62" s="65">
        <f t="shared" ref="F62:AC62" si="39">SUM(F$346,F$352,F$359,F$386)</f>
        <v>73.72</v>
      </c>
      <c r="G62" s="65">
        <f t="shared" si="39"/>
        <v>85.062999999999988</v>
      </c>
      <c r="H62" s="65">
        <f t="shared" si="39"/>
        <v>93.358999999999995</v>
      </c>
      <c r="I62" s="65">
        <f t="shared" si="39"/>
        <v>95.971000000000004</v>
      </c>
      <c r="J62" s="65">
        <f t="shared" si="39"/>
        <v>115.36199999999999</v>
      </c>
      <c r="K62" s="65">
        <f t="shared" si="39"/>
        <v>116.178</v>
      </c>
      <c r="L62" s="65">
        <f t="shared" si="39"/>
        <v>118.779</v>
      </c>
      <c r="M62" s="65">
        <f t="shared" si="39"/>
        <v>123.91800000000001</v>
      </c>
      <c r="N62" s="65">
        <f t="shared" si="39"/>
        <v>135.78700000000001</v>
      </c>
      <c r="O62" s="24">
        <f t="shared" si="39"/>
        <v>135.76199999999997</v>
      </c>
      <c r="P62" s="24">
        <f t="shared" si="39"/>
        <v>142.80200000000002</v>
      </c>
      <c r="Q62" s="24">
        <f t="shared" si="39"/>
        <v>142.27700000000002</v>
      </c>
      <c r="R62" s="24">
        <f t="shared" si="39"/>
        <v>145.584</v>
      </c>
      <c r="S62" s="24">
        <f t="shared" si="39"/>
        <v>154.72399999999999</v>
      </c>
      <c r="T62" s="26">
        <f t="shared" ca="1" si="39"/>
        <v>161.92583214056566</v>
      </c>
      <c r="U62" s="26">
        <f t="shared" ca="1" si="39"/>
        <v>169.14170191965076</v>
      </c>
      <c r="V62" s="26">
        <f t="shared" ca="1" si="39"/>
        <v>179.76568029123933</v>
      </c>
      <c r="W62" s="26">
        <f t="shared" ca="1" si="39"/>
        <v>190.67722309592804</v>
      </c>
      <c r="X62" s="26">
        <f t="shared" ca="1" si="39"/>
        <v>201.88595561381408</v>
      </c>
      <c r="Y62" s="26">
        <f t="shared" ca="1" si="39"/>
        <v>213.37607099080492</v>
      </c>
      <c r="Z62" s="26">
        <f t="shared" ca="1" si="39"/>
        <v>225.06388735250505</v>
      </c>
      <c r="AA62" s="26">
        <f t="shared" ca="1" si="39"/>
        <v>236.95558109821093</v>
      </c>
      <c r="AB62" s="26">
        <f t="shared" ca="1" si="39"/>
        <v>249.04159988087358</v>
      </c>
      <c r="AC62" s="26">
        <f t="shared" ca="1" si="39"/>
        <v>261.37971559644495</v>
      </c>
    </row>
    <row r="63" spans="1:29" x14ac:dyDescent="0.2">
      <c r="A63" s="3" t="s">
        <v>351</v>
      </c>
      <c r="F63" s="65">
        <f>F$407</f>
        <v>95.597999999999999</v>
      </c>
      <c r="G63" s="65">
        <f t="shared" ref="G63:AC63" si="40">G$407</f>
        <v>103.32899999999999</v>
      </c>
      <c r="H63" s="65">
        <f t="shared" si="40"/>
        <v>110.13499999999999</v>
      </c>
      <c r="I63" s="65">
        <f t="shared" si="40"/>
        <v>113.33</v>
      </c>
      <c r="J63" s="65">
        <f t="shared" si="40"/>
        <v>114.854</v>
      </c>
      <c r="K63" s="65">
        <f t="shared" si="40"/>
        <v>108.584</v>
      </c>
      <c r="L63" s="65">
        <f t="shared" si="40"/>
        <v>109.833</v>
      </c>
      <c r="M63" s="65">
        <f t="shared" si="40"/>
        <v>116.306</v>
      </c>
      <c r="N63" s="65">
        <f t="shared" si="40"/>
        <v>124.55800000000001</v>
      </c>
      <c r="O63" s="24">
        <f t="shared" si="40"/>
        <v>128.47200000000001</v>
      </c>
      <c r="P63" s="24">
        <f t="shared" si="40"/>
        <v>131.91499999999999</v>
      </c>
      <c r="Q63" s="24">
        <f t="shared" si="40"/>
        <v>134.08800000000002</v>
      </c>
      <c r="R63" s="24">
        <f t="shared" si="40"/>
        <v>135.79599999999999</v>
      </c>
      <c r="S63" s="24">
        <f t="shared" si="40"/>
        <v>136.54900000000001</v>
      </c>
      <c r="T63" s="26">
        <f t="shared" ca="1" si="40"/>
        <v>137.454815427894</v>
      </c>
      <c r="U63" s="26">
        <f t="shared" ca="1" si="40"/>
        <v>138.53381608244354</v>
      </c>
      <c r="V63" s="26">
        <f t="shared" ca="1" si="40"/>
        <v>139.91864651295847</v>
      </c>
      <c r="W63" s="26">
        <f t="shared" ca="1" si="40"/>
        <v>141.48061627823327</v>
      </c>
      <c r="X63" s="26">
        <f t="shared" ca="1" si="40"/>
        <v>143.22190020767383</v>
      </c>
      <c r="Y63" s="26">
        <f t="shared" ca="1" si="40"/>
        <v>145.14137521098016</v>
      </c>
      <c r="Z63" s="26">
        <f t="shared" ca="1" si="40"/>
        <v>147.23762748661343</v>
      </c>
      <c r="AA63" s="26">
        <f t="shared" ca="1" si="40"/>
        <v>149.51091082159303</v>
      </c>
      <c r="AB63" s="26">
        <f t="shared" ca="1" si="40"/>
        <v>151.96083902983108</v>
      </c>
      <c r="AC63" s="26">
        <f t="shared" ca="1" si="40"/>
        <v>154.59017747636091</v>
      </c>
    </row>
    <row r="64" spans="1:29" x14ac:dyDescent="0.2">
      <c r="A64" s="3" t="s">
        <v>352</v>
      </c>
      <c r="F64" s="65">
        <f t="shared" ref="F64:AC64" si="41">SUM(F$324,F$398,F$401,F$416,F$422)</f>
        <v>11.030999999999999</v>
      </c>
      <c r="G64" s="65">
        <f t="shared" si="41"/>
        <v>12.443</v>
      </c>
      <c r="H64" s="65">
        <f t="shared" si="41"/>
        <v>13.657</v>
      </c>
      <c r="I64" s="65">
        <f t="shared" si="41"/>
        <v>14.053999999999998</v>
      </c>
      <c r="J64" s="65">
        <f t="shared" si="41"/>
        <v>14.999000000000001</v>
      </c>
      <c r="K64" s="65">
        <f t="shared" si="41"/>
        <v>15.556000000000001</v>
      </c>
      <c r="L64" s="65">
        <f t="shared" si="41"/>
        <v>15.803999999999998</v>
      </c>
      <c r="M64" s="65">
        <f t="shared" si="41"/>
        <v>16.600000000000001</v>
      </c>
      <c r="N64" s="65">
        <f t="shared" si="41"/>
        <v>18.358000000000001</v>
      </c>
      <c r="O64" s="73">
        <f t="shared" si="41"/>
        <v>18.045999999999999</v>
      </c>
      <c r="P64" s="73">
        <f t="shared" si="41"/>
        <v>18.330000000000002</v>
      </c>
      <c r="Q64" s="73">
        <f t="shared" si="41"/>
        <v>18.66</v>
      </c>
      <c r="R64" s="73">
        <f t="shared" si="41"/>
        <v>18.945</v>
      </c>
      <c r="S64" s="73">
        <f t="shared" si="41"/>
        <v>19.144000000000002</v>
      </c>
      <c r="T64" s="26">
        <f t="shared" ca="1" si="41"/>
        <v>19.668161536752656</v>
      </c>
      <c r="U64" s="26">
        <f t="shared" ca="1" si="41"/>
        <v>20.202819713726953</v>
      </c>
      <c r="V64" s="26">
        <f t="shared" ca="1" si="41"/>
        <v>20.732207284030622</v>
      </c>
      <c r="W64" s="26">
        <f t="shared" ca="1" si="41"/>
        <v>21.275640448413913</v>
      </c>
      <c r="X64" s="26">
        <f t="shared" ca="1" si="41"/>
        <v>21.827421703411105</v>
      </c>
      <c r="Y64" s="26">
        <f t="shared" ca="1" si="41"/>
        <v>22.395910136600875</v>
      </c>
      <c r="Z64" s="26">
        <f t="shared" ca="1" si="41"/>
        <v>23.006491033100364</v>
      </c>
      <c r="AA64" s="26">
        <f t="shared" ca="1" si="41"/>
        <v>23.660552721041636</v>
      </c>
      <c r="AB64" s="26">
        <f t="shared" ca="1" si="41"/>
        <v>24.365066784680174</v>
      </c>
      <c r="AC64" s="26">
        <f t="shared" ca="1" si="41"/>
        <v>25.115502794876249</v>
      </c>
    </row>
    <row r="65" spans="1:29" x14ac:dyDescent="0.2">
      <c r="A65" s="32" t="s">
        <v>315</v>
      </c>
      <c r="F65" s="65">
        <f>F$323</f>
        <v>0</v>
      </c>
      <c r="G65" s="65">
        <f t="shared" ref="G65:AC65" si="42">G$323</f>
        <v>0</v>
      </c>
      <c r="H65" s="65">
        <f t="shared" si="42"/>
        <v>0</v>
      </c>
      <c r="I65" s="65">
        <f t="shared" si="42"/>
        <v>0</v>
      </c>
      <c r="J65" s="65">
        <f t="shared" si="42"/>
        <v>0</v>
      </c>
      <c r="K65" s="65">
        <f t="shared" si="42"/>
        <v>0</v>
      </c>
      <c r="L65" s="65">
        <f t="shared" si="42"/>
        <v>0</v>
      </c>
      <c r="M65" s="65">
        <f t="shared" si="42"/>
        <v>0</v>
      </c>
      <c r="N65" s="65">
        <f t="shared" si="42"/>
        <v>0</v>
      </c>
      <c r="O65" s="24">
        <f t="shared" si="42"/>
        <v>0.45100000000000001</v>
      </c>
      <c r="P65" s="24">
        <f t="shared" si="42"/>
        <v>1.2470000000000001</v>
      </c>
      <c r="Q65" s="24">
        <f t="shared" si="42"/>
        <v>1.913</v>
      </c>
      <c r="R65" s="24">
        <f t="shared" si="42"/>
        <v>2.6480000000000001</v>
      </c>
      <c r="S65" s="24">
        <f t="shared" si="42"/>
        <v>3.5609999999999999</v>
      </c>
      <c r="T65" s="26">
        <f t="shared" ca="1" si="42"/>
        <v>4.6254999999999997</v>
      </c>
      <c r="U65" s="26">
        <f t="shared" ca="1" si="42"/>
        <v>5.6703700000000001</v>
      </c>
      <c r="V65" s="26">
        <f t="shared" ca="1" si="42"/>
        <v>6.7005774000000002</v>
      </c>
      <c r="W65" s="26">
        <f t="shared" ca="1" si="42"/>
        <v>7.7041889480000005</v>
      </c>
      <c r="X65" s="26">
        <f t="shared" ca="1" si="42"/>
        <v>8.7278727269600012</v>
      </c>
      <c r="Y65" s="26">
        <f t="shared" ca="1" si="42"/>
        <v>9.7720301814992006</v>
      </c>
      <c r="Z65" s="26">
        <f t="shared" ca="1" si="42"/>
        <v>10.837070785129185</v>
      </c>
      <c r="AA65" s="26">
        <f t="shared" ca="1" si="42"/>
        <v>11.92341220083177</v>
      </c>
      <c r="AB65" s="26">
        <f t="shared" ca="1" si="42"/>
        <v>13.031480444848405</v>
      </c>
      <c r="AC65" s="26">
        <f t="shared" ca="1" si="42"/>
        <v>14.161710053745374</v>
      </c>
    </row>
    <row r="66" spans="1:29" x14ac:dyDescent="0.2">
      <c r="A66" s="31" t="s">
        <v>353</v>
      </c>
      <c r="F66" s="56">
        <f>SUM(F$62:F$65)</f>
        <v>180.34899999999999</v>
      </c>
      <c r="G66" s="56">
        <f t="shared" ref="G66:AC66" si="43">SUM(G$62:G$65)</f>
        <v>200.83500000000001</v>
      </c>
      <c r="H66" s="56">
        <f t="shared" si="43"/>
        <v>217.15099999999998</v>
      </c>
      <c r="I66" s="56">
        <f t="shared" si="43"/>
        <v>223.35499999999999</v>
      </c>
      <c r="J66" s="56">
        <f t="shared" si="43"/>
        <v>245.215</v>
      </c>
      <c r="K66" s="56">
        <f t="shared" si="43"/>
        <v>240.31800000000001</v>
      </c>
      <c r="L66" s="56">
        <f t="shared" si="43"/>
        <v>244.416</v>
      </c>
      <c r="M66" s="56">
        <f t="shared" si="43"/>
        <v>256.82400000000001</v>
      </c>
      <c r="N66" s="56">
        <f t="shared" si="43"/>
        <v>278.70300000000003</v>
      </c>
      <c r="O66" s="57">
        <f t="shared" si="43"/>
        <v>282.73099999999999</v>
      </c>
      <c r="P66" s="57">
        <f t="shared" si="43"/>
        <v>294.29399999999998</v>
      </c>
      <c r="Q66" s="57">
        <f t="shared" si="43"/>
        <v>296.93800000000005</v>
      </c>
      <c r="R66" s="57">
        <f t="shared" si="43"/>
        <v>302.97300000000001</v>
      </c>
      <c r="S66" s="57">
        <f t="shared" si="43"/>
        <v>313.97800000000001</v>
      </c>
      <c r="T66" s="58">
        <f t="shared" ca="1" si="43"/>
        <v>323.67430910521233</v>
      </c>
      <c r="U66" s="58">
        <f t="shared" ca="1" si="43"/>
        <v>333.54870771582125</v>
      </c>
      <c r="V66" s="58">
        <f t="shared" ca="1" si="43"/>
        <v>347.11711148822837</v>
      </c>
      <c r="W66" s="58">
        <f t="shared" ca="1" si="43"/>
        <v>361.13766877057526</v>
      </c>
      <c r="X66" s="58">
        <f t="shared" ca="1" si="43"/>
        <v>375.66315025185901</v>
      </c>
      <c r="Y66" s="58">
        <f t="shared" ca="1" si="43"/>
        <v>390.68538651988518</v>
      </c>
      <c r="Z66" s="58">
        <f t="shared" ca="1" si="43"/>
        <v>406.145076657348</v>
      </c>
      <c r="AA66" s="58">
        <f t="shared" ca="1" si="43"/>
        <v>422.05045684167737</v>
      </c>
      <c r="AB66" s="58">
        <f t="shared" ca="1" si="43"/>
        <v>438.39898614023321</v>
      </c>
      <c r="AC66" s="58">
        <f t="shared" ca="1" si="43"/>
        <v>455.24710592142748</v>
      </c>
    </row>
    <row r="67" spans="1:29" x14ac:dyDescent="0.2">
      <c r="A67" s="3" t="s">
        <v>319</v>
      </c>
      <c r="F67" s="65">
        <f>F$84</f>
        <v>41.897999999999996</v>
      </c>
      <c r="G67" s="65">
        <f t="shared" ref="G67:AC67" si="44">G$84</f>
        <v>46.11</v>
      </c>
      <c r="H67" s="65">
        <f t="shared" si="44"/>
        <v>61.953000000000003</v>
      </c>
      <c r="I67" s="65">
        <f t="shared" si="44"/>
        <v>69.733000000000004</v>
      </c>
      <c r="J67" s="65">
        <f t="shared" si="44"/>
        <v>90.245000000000005</v>
      </c>
      <c r="K67" s="65">
        <f t="shared" si="44"/>
        <v>100.53399999999999</v>
      </c>
      <c r="L67" s="65">
        <f t="shared" si="44"/>
        <v>100.08699999999999</v>
      </c>
      <c r="M67" s="65">
        <f t="shared" si="44"/>
        <v>103.419</v>
      </c>
      <c r="N67" s="65">
        <f t="shared" si="44"/>
        <v>112.58</v>
      </c>
      <c r="O67" s="73">
        <f t="shared" si="44"/>
        <v>116.976</v>
      </c>
      <c r="P67" s="73">
        <f t="shared" si="44"/>
        <v>126.87100000000001</v>
      </c>
      <c r="Q67" s="73">
        <f t="shared" si="44"/>
        <v>125.24199999999999</v>
      </c>
      <c r="R67" s="73">
        <f t="shared" si="44"/>
        <v>123.333</v>
      </c>
      <c r="S67" s="73">
        <f t="shared" si="44"/>
        <v>125.643</v>
      </c>
      <c r="T67" s="26">
        <f t="shared" ca="1" si="44"/>
        <v>123.55327612385946</v>
      </c>
      <c r="U67" s="26">
        <f t="shared" ca="1" si="44"/>
        <v>120.06142964593548</v>
      </c>
      <c r="V67" s="26">
        <f t="shared" ca="1" si="44"/>
        <v>118.48006839837846</v>
      </c>
      <c r="W67" s="26">
        <f t="shared" ca="1" si="44"/>
        <v>115.73620609155945</v>
      </c>
      <c r="X67" s="26">
        <f t="shared" ca="1" si="44"/>
        <v>111.88420086376252</v>
      </c>
      <c r="Y67" s="26">
        <f t="shared" ca="1" si="44"/>
        <v>106.88664950873972</v>
      </c>
      <c r="Z67" s="26">
        <f t="shared" ca="1" si="44"/>
        <v>100.44268471908158</v>
      </c>
      <c r="AA67" s="26">
        <f t="shared" ca="1" si="44"/>
        <v>92.316944643151999</v>
      </c>
      <c r="AB67" s="26">
        <f t="shared" ca="1" si="44"/>
        <v>82.35789622032857</v>
      </c>
      <c r="AC67" s="26">
        <f t="shared" ca="1" si="44"/>
        <v>70.38685175410815</v>
      </c>
    </row>
    <row r="68" spans="1:29" x14ac:dyDescent="0.2">
      <c r="A68" s="3" t="s">
        <v>354</v>
      </c>
      <c r="F68" s="65">
        <f>SUM(F$424,F$431,F$434,F$441,F$446,F$453)</f>
        <v>41.624000000000002</v>
      </c>
      <c r="G68" s="65">
        <f t="shared" ref="G68:AC68" si="45">SUM(G$424,G$431,G$434,G$441,G$446,G$453)</f>
        <v>49.210999999999999</v>
      </c>
      <c r="H68" s="65">
        <f t="shared" si="45"/>
        <v>55.683</v>
      </c>
      <c r="I68" s="65">
        <f t="shared" si="45"/>
        <v>58.634</v>
      </c>
      <c r="J68" s="65">
        <f t="shared" si="45"/>
        <v>74.082999999999998</v>
      </c>
      <c r="K68" s="65">
        <f t="shared" si="45"/>
        <v>80.004000000000005</v>
      </c>
      <c r="L68" s="65">
        <f t="shared" si="45"/>
        <v>74.318000000000012</v>
      </c>
      <c r="M68" s="65">
        <f t="shared" si="45"/>
        <v>72.708000000000013</v>
      </c>
      <c r="N68" s="65">
        <f t="shared" si="45"/>
        <v>73.887</v>
      </c>
      <c r="O68" s="24">
        <f t="shared" si="45"/>
        <v>73.01700000000001</v>
      </c>
      <c r="P68" s="24">
        <f t="shared" si="45"/>
        <v>71.858000000000004</v>
      </c>
      <c r="Q68" s="24">
        <f t="shared" si="45"/>
        <v>72.606999999999985</v>
      </c>
      <c r="R68" s="24">
        <f t="shared" si="45"/>
        <v>74.237999999999985</v>
      </c>
      <c r="S68" s="24">
        <f t="shared" si="45"/>
        <v>75.046999999999997</v>
      </c>
      <c r="T68" s="26">
        <f t="shared" ca="1" si="45"/>
        <v>78.099619719894733</v>
      </c>
      <c r="U68" s="26">
        <f t="shared" ca="1" si="45"/>
        <v>81.157953160004979</v>
      </c>
      <c r="V68" s="26">
        <f t="shared" ca="1" si="45"/>
        <v>84.388954287686857</v>
      </c>
      <c r="W68" s="26">
        <f t="shared" ca="1" si="45"/>
        <v>87.675868652841984</v>
      </c>
      <c r="X68" s="26">
        <f t="shared" ca="1" si="45"/>
        <v>91.037635782468286</v>
      </c>
      <c r="Y68" s="26">
        <f t="shared" ca="1" si="45"/>
        <v>94.381599643855196</v>
      </c>
      <c r="Z68" s="26">
        <f t="shared" ca="1" si="45"/>
        <v>97.845420555376222</v>
      </c>
      <c r="AA68" s="26">
        <f t="shared" ca="1" si="45"/>
        <v>101.40956777918458</v>
      </c>
      <c r="AB68" s="26">
        <f t="shared" ca="1" si="45"/>
        <v>105.06236245650906</v>
      </c>
      <c r="AC68" s="26">
        <f t="shared" ca="1" si="45"/>
        <v>108.83842621104185</v>
      </c>
    </row>
    <row r="69" spans="1:29" x14ac:dyDescent="0.2">
      <c r="A69" s="31" t="s">
        <v>355</v>
      </c>
      <c r="F69" s="56">
        <f>SUM(F$67:F$68)</f>
        <v>83.521999999999991</v>
      </c>
      <c r="G69" s="56">
        <f t="shared" ref="G69:AC69" si="46">SUM(G$67:G$68)</f>
        <v>95.320999999999998</v>
      </c>
      <c r="H69" s="56">
        <f t="shared" si="46"/>
        <v>117.636</v>
      </c>
      <c r="I69" s="56">
        <f t="shared" si="46"/>
        <v>128.36700000000002</v>
      </c>
      <c r="J69" s="56">
        <f t="shared" si="46"/>
        <v>164.328</v>
      </c>
      <c r="K69" s="56">
        <f t="shared" si="46"/>
        <v>180.53800000000001</v>
      </c>
      <c r="L69" s="56">
        <f t="shared" si="46"/>
        <v>174.405</v>
      </c>
      <c r="M69" s="56">
        <f t="shared" si="46"/>
        <v>176.12700000000001</v>
      </c>
      <c r="N69" s="56">
        <f t="shared" si="46"/>
        <v>186.46699999999998</v>
      </c>
      <c r="O69" s="57">
        <f t="shared" si="46"/>
        <v>189.99299999999999</v>
      </c>
      <c r="P69" s="57">
        <f t="shared" si="46"/>
        <v>198.72900000000001</v>
      </c>
      <c r="Q69" s="57">
        <f t="shared" si="46"/>
        <v>197.84899999999999</v>
      </c>
      <c r="R69" s="57">
        <f t="shared" si="46"/>
        <v>197.57099999999997</v>
      </c>
      <c r="S69" s="57">
        <f t="shared" si="46"/>
        <v>200.69</v>
      </c>
      <c r="T69" s="58">
        <f t="shared" ca="1" si="46"/>
        <v>201.65289584375421</v>
      </c>
      <c r="U69" s="58">
        <f t="shared" ca="1" si="46"/>
        <v>201.21938280594046</v>
      </c>
      <c r="V69" s="58">
        <f t="shared" ca="1" si="46"/>
        <v>202.86902268606531</v>
      </c>
      <c r="W69" s="58">
        <f t="shared" ca="1" si="46"/>
        <v>203.41207474440142</v>
      </c>
      <c r="X69" s="58">
        <f t="shared" ca="1" si="46"/>
        <v>202.92183664623082</v>
      </c>
      <c r="Y69" s="58">
        <f t="shared" ca="1" si="46"/>
        <v>201.26824915259493</v>
      </c>
      <c r="Z69" s="58">
        <f t="shared" ca="1" si="46"/>
        <v>198.28810527445779</v>
      </c>
      <c r="AA69" s="58">
        <f t="shared" ca="1" si="46"/>
        <v>193.72651242233658</v>
      </c>
      <c r="AB69" s="58">
        <f t="shared" ca="1" si="46"/>
        <v>187.42025867683765</v>
      </c>
      <c r="AC69" s="58">
        <f t="shared" ca="1" si="46"/>
        <v>179.22527796514998</v>
      </c>
    </row>
    <row r="70" spans="1:29" x14ac:dyDescent="0.2">
      <c r="A70" s="31" t="s">
        <v>356</v>
      </c>
      <c r="F70" s="23">
        <f>F$66-F$69</f>
        <v>96.826999999999998</v>
      </c>
      <c r="G70" s="23">
        <f t="shared" ref="G70:AC70" si="47">G$66-G$69</f>
        <v>105.51400000000001</v>
      </c>
      <c r="H70" s="23">
        <f t="shared" si="47"/>
        <v>99.514999999999986</v>
      </c>
      <c r="I70" s="23">
        <f t="shared" si="47"/>
        <v>94.987999999999971</v>
      </c>
      <c r="J70" s="23">
        <f t="shared" si="47"/>
        <v>80.887</v>
      </c>
      <c r="K70" s="23">
        <f t="shared" si="47"/>
        <v>59.78</v>
      </c>
      <c r="L70" s="23">
        <f t="shared" si="47"/>
        <v>70.010999999999996</v>
      </c>
      <c r="M70" s="23">
        <f t="shared" si="47"/>
        <v>80.697000000000003</v>
      </c>
      <c r="N70" s="23">
        <f t="shared" si="47"/>
        <v>92.236000000000047</v>
      </c>
      <c r="O70" s="25">
        <f t="shared" si="47"/>
        <v>92.738</v>
      </c>
      <c r="P70" s="25">
        <f t="shared" si="47"/>
        <v>95.564999999999969</v>
      </c>
      <c r="Q70" s="25">
        <f t="shared" si="47"/>
        <v>99.089000000000055</v>
      </c>
      <c r="R70" s="25">
        <f t="shared" si="47"/>
        <v>105.40200000000004</v>
      </c>
      <c r="S70" s="25">
        <f t="shared" si="47"/>
        <v>113.28800000000001</v>
      </c>
      <c r="T70" s="11">
        <f t="shared" ca="1" si="47"/>
        <v>122.02141326145812</v>
      </c>
      <c r="U70" s="11">
        <f t="shared" ca="1" si="47"/>
        <v>132.3293249098808</v>
      </c>
      <c r="V70" s="11">
        <f t="shared" ca="1" si="47"/>
        <v>144.24808880216307</v>
      </c>
      <c r="W70" s="11">
        <f t="shared" ca="1" si="47"/>
        <v>157.72559402617384</v>
      </c>
      <c r="X70" s="11">
        <f t="shared" ca="1" si="47"/>
        <v>172.74131360562819</v>
      </c>
      <c r="Y70" s="11">
        <f t="shared" ca="1" si="47"/>
        <v>189.41713736729025</v>
      </c>
      <c r="Z70" s="11">
        <f t="shared" ca="1" si="47"/>
        <v>207.85697138289021</v>
      </c>
      <c r="AA70" s="11">
        <f t="shared" ca="1" si="47"/>
        <v>228.32394441934079</v>
      </c>
      <c r="AB70" s="11">
        <f t="shared" ca="1" si="47"/>
        <v>250.97872746339556</v>
      </c>
      <c r="AC70" s="11">
        <f t="shared" ca="1" si="47"/>
        <v>276.02182795627749</v>
      </c>
    </row>
    <row r="71" spans="1:29" x14ac:dyDescent="0.2">
      <c r="A71" s="3" t="s">
        <v>646</v>
      </c>
      <c r="B71" s="4" t="str">
        <f>$B$46</f>
        <v>From Fiscal Forecasts</v>
      </c>
      <c r="F71" s="65">
        <f>'Fiscal Forecasts'!F$136</f>
        <v>0.29599999999999999</v>
      </c>
      <c r="G71" s="65">
        <f>'Fiscal Forecasts'!G$136</f>
        <v>0.38200000000000001</v>
      </c>
      <c r="H71" s="65">
        <f>'Fiscal Forecasts'!H$136</f>
        <v>0.44700000000000001</v>
      </c>
      <c r="I71" s="65">
        <f>'Fiscal Forecasts'!I$136</f>
        <v>0.40200000000000002</v>
      </c>
      <c r="J71" s="65">
        <f>'Fiscal Forecasts'!J$136</f>
        <v>0.308</v>
      </c>
      <c r="K71" s="65">
        <f>'Fiscal Forecasts'!K$136</f>
        <v>0.432</v>
      </c>
      <c r="L71" s="65">
        <f>'Fiscal Forecasts'!L$136</f>
        <v>1.94</v>
      </c>
      <c r="M71" s="65">
        <f>'Fiscal Forecasts'!M$136</f>
        <v>5.2110000000000003</v>
      </c>
      <c r="N71" s="65">
        <f>'Fiscal Forecasts'!N$136</f>
        <v>5.782</v>
      </c>
      <c r="O71" s="24">
        <f>'Fiscal Forecasts'!O$136</f>
        <v>5.8760000000000003</v>
      </c>
      <c r="P71" s="24">
        <f>'Fiscal Forecasts'!P$136</f>
        <v>5.931</v>
      </c>
      <c r="Q71" s="24">
        <f>'Fiscal Forecasts'!Q$136</f>
        <v>6</v>
      </c>
      <c r="R71" s="24">
        <f>'Fiscal Forecasts'!R$136</f>
        <v>6.077</v>
      </c>
      <c r="S71" s="24">
        <f>'Fiscal Forecasts'!S$136</f>
        <v>6.1150000000000002</v>
      </c>
      <c r="T71" s="26">
        <f t="shared" ref="T71:AC71" ca="1" si="48">S$71*T$406/S$406</f>
        <v>6.2764351669206118</v>
      </c>
      <c r="U71" s="26">
        <f t="shared" ca="1" si="48"/>
        <v>6.3363418059610179</v>
      </c>
      <c r="V71" s="26">
        <f t="shared" ca="1" si="48"/>
        <v>6.4067162346924009</v>
      </c>
      <c r="W71" s="26">
        <f t="shared" ca="1" si="48"/>
        <v>6.4876548610207125</v>
      </c>
      <c r="X71" s="26">
        <f t="shared" ca="1" si="48"/>
        <v>6.5793208997171231</v>
      </c>
      <c r="Y71" s="26">
        <f t="shared" ca="1" si="48"/>
        <v>6.68177335028569</v>
      </c>
      <c r="Z71" s="26">
        <f t="shared" ca="1" si="48"/>
        <v>6.7950407041209724</v>
      </c>
      <c r="AA71" s="26">
        <f t="shared" ca="1" si="48"/>
        <v>6.9191605843877309</v>
      </c>
      <c r="AB71" s="26">
        <f t="shared" ca="1" si="48"/>
        <v>7.0541121720011359</v>
      </c>
      <c r="AC71" s="26">
        <f t="shared" ca="1" si="48"/>
        <v>7.1999544114710368</v>
      </c>
    </row>
    <row r="72" spans="1:29" x14ac:dyDescent="0.2">
      <c r="A72" s="3" t="s">
        <v>647</v>
      </c>
      <c r="F72" s="65">
        <f>F$70-F$71</f>
        <v>96.530999999999992</v>
      </c>
      <c r="G72" s="65">
        <f t="shared" ref="G72:AC72" si="49">G$70-G$71</f>
        <v>105.13200000000001</v>
      </c>
      <c r="H72" s="65">
        <f t="shared" si="49"/>
        <v>99.067999999999984</v>
      </c>
      <c r="I72" s="65">
        <f t="shared" si="49"/>
        <v>94.58599999999997</v>
      </c>
      <c r="J72" s="65">
        <f t="shared" si="49"/>
        <v>80.578999999999994</v>
      </c>
      <c r="K72" s="65">
        <f t="shared" si="49"/>
        <v>59.347999999999999</v>
      </c>
      <c r="L72" s="65">
        <f t="shared" si="49"/>
        <v>68.070999999999998</v>
      </c>
      <c r="M72" s="65">
        <f t="shared" si="49"/>
        <v>75.486000000000004</v>
      </c>
      <c r="N72" s="65">
        <f t="shared" si="49"/>
        <v>86.45400000000005</v>
      </c>
      <c r="O72" s="24">
        <f t="shared" si="49"/>
        <v>86.861999999999995</v>
      </c>
      <c r="P72" s="24">
        <f t="shared" si="49"/>
        <v>89.633999999999972</v>
      </c>
      <c r="Q72" s="24">
        <f t="shared" si="49"/>
        <v>93.089000000000055</v>
      </c>
      <c r="R72" s="24">
        <f t="shared" si="49"/>
        <v>99.325000000000045</v>
      </c>
      <c r="S72" s="24">
        <f t="shared" si="49"/>
        <v>107.17300000000002</v>
      </c>
      <c r="T72" s="26">
        <f t="shared" ca="1" si="49"/>
        <v>115.74497809453752</v>
      </c>
      <c r="U72" s="26">
        <f t="shared" ca="1" si="49"/>
        <v>125.99298310391978</v>
      </c>
      <c r="V72" s="26">
        <f t="shared" ca="1" si="49"/>
        <v>137.84137256747067</v>
      </c>
      <c r="W72" s="26">
        <f t="shared" ca="1" si="49"/>
        <v>151.23793916515314</v>
      </c>
      <c r="X72" s="26">
        <f t="shared" ca="1" si="49"/>
        <v>166.16199270591108</v>
      </c>
      <c r="Y72" s="26">
        <f t="shared" ca="1" si="49"/>
        <v>182.73536401700457</v>
      </c>
      <c r="Z72" s="26">
        <f t="shared" ca="1" si="49"/>
        <v>201.06193067876924</v>
      </c>
      <c r="AA72" s="26">
        <f t="shared" ca="1" si="49"/>
        <v>221.40478383495307</v>
      </c>
      <c r="AB72" s="26">
        <f t="shared" ca="1" si="49"/>
        <v>243.92461529139442</v>
      </c>
      <c r="AC72" s="26">
        <f t="shared" ca="1" si="49"/>
        <v>268.82187354480646</v>
      </c>
    </row>
    <row r="73" spans="1:29" x14ac:dyDescent="0.2">
      <c r="A73" s="5" t="s">
        <v>907</v>
      </c>
      <c r="B73" s="4" t="s">
        <v>773</v>
      </c>
      <c r="T73" s="7" t="str">
        <f t="shared" ref="T73:AC73" ca="1" si="50">IF(ROUND(T$52-(T$70-S$70),3)=0,"OK","ERROR")</f>
        <v>OK</v>
      </c>
      <c r="U73" s="7" t="str">
        <f t="shared" ca="1" si="50"/>
        <v>OK</v>
      </c>
      <c r="V73" s="7" t="str">
        <f t="shared" ca="1" si="50"/>
        <v>OK</v>
      </c>
      <c r="W73" s="7" t="str">
        <f t="shared" ca="1" si="50"/>
        <v>OK</v>
      </c>
      <c r="X73" s="7" t="str">
        <f t="shared" ca="1" si="50"/>
        <v>OK</v>
      </c>
      <c r="Y73" s="7" t="str">
        <f t="shared" ca="1" si="50"/>
        <v>OK</v>
      </c>
      <c r="Z73" s="7" t="str">
        <f t="shared" ca="1" si="50"/>
        <v>OK</v>
      </c>
      <c r="AA73" s="7" t="str">
        <f t="shared" ca="1" si="50"/>
        <v>OK</v>
      </c>
      <c r="AB73" s="7" t="str">
        <f t="shared" ca="1" si="50"/>
        <v>OK</v>
      </c>
      <c r="AC73" s="7" t="str">
        <f t="shared" ca="1" si="50"/>
        <v>OK</v>
      </c>
    </row>
    <row r="74" spans="1:29" x14ac:dyDescent="0.2">
      <c r="A74" s="5" t="s">
        <v>881</v>
      </c>
      <c r="B74" s="4" t="s">
        <v>884</v>
      </c>
      <c r="F74" s="7" t="str">
        <f>IF(ROUND('Fiscal Forecasts'!F$134-F$70,3)=0,"OK","ERROR")</f>
        <v>OK</v>
      </c>
      <c r="G74" s="7" t="str">
        <f>IF(ROUND('Fiscal Forecasts'!G$134-G$70,3)=0,"OK","ERROR")</f>
        <v>OK</v>
      </c>
      <c r="H74" s="7" t="str">
        <f>IF(ROUND('Fiscal Forecasts'!H$134-H$70,3)=0,"OK","ERROR")</f>
        <v>OK</v>
      </c>
      <c r="I74" s="7" t="str">
        <f>IF(ROUND('Fiscal Forecasts'!I$134-I$70,3)=0,"OK","ERROR")</f>
        <v>OK</v>
      </c>
      <c r="J74" s="7" t="str">
        <f>IF(ROUND('Fiscal Forecasts'!J$134-J$70,3)=0,"OK","ERROR")</f>
        <v>OK</v>
      </c>
      <c r="K74" s="7" t="str">
        <f>IF(ROUND('Fiscal Forecasts'!K$134-K$70,3)=0,"OK","ERROR")</f>
        <v>OK</v>
      </c>
      <c r="L74" s="7" t="str">
        <f>IF(ROUND('Fiscal Forecasts'!L$134-L$70,3)=0,"OK","ERROR")</f>
        <v>OK</v>
      </c>
      <c r="M74" s="7" t="str">
        <f>IF(ROUND('Fiscal Forecasts'!M$134-M$70,3)=0,"OK","ERROR")</f>
        <v>OK</v>
      </c>
      <c r="N74" s="7" t="str">
        <f>IF(ROUND('Fiscal Forecasts'!N$134-N$70 -IF($D$2="Yes",'Fiscal Forecast Adjuster'!F$38,0)/1000,3)=0,"OK","ERROR")</f>
        <v>OK</v>
      </c>
      <c r="O74" s="7" t="str">
        <f>IF(ROUND('Fiscal Forecasts'!O$134-O$70 -IF($D$2="Yes",'Fiscal Forecast Adjuster'!G$38,0)/1000,3)=0,"OK","ERROR")</f>
        <v>OK</v>
      </c>
      <c r="P74" s="7" t="str">
        <f>IF(ROUND('Fiscal Forecasts'!P$134-P$70 -IF($D$2="Yes",'Fiscal Forecast Adjuster'!H$38,0)/1000,3)=0,"OK","ERROR")</f>
        <v>OK</v>
      </c>
      <c r="Q74" s="7" t="str">
        <f>IF(ROUND('Fiscal Forecasts'!Q$134-Q$70 -IF($D$2="Yes",'Fiscal Forecast Adjuster'!I$38,0)/1000,3)=0,"OK","ERROR")</f>
        <v>OK</v>
      </c>
      <c r="R74" s="7" t="str">
        <f>IF(ROUND('Fiscal Forecasts'!R$134-R$70 -IF($D$2="Yes",'Fiscal Forecast Adjuster'!J$38,0)/1000,3)=0,"OK","ERROR")</f>
        <v>OK</v>
      </c>
      <c r="S74" s="7" t="str">
        <f>IF(ROUND('Fiscal Forecasts'!S$134-S$70 -IF($D$2="Yes",'Fiscal Forecast Adjuster'!K$38,0)/1000,3)=0,"OK","ERROR")</f>
        <v>OK</v>
      </c>
      <c r="T74" s="7"/>
      <c r="U74" s="7"/>
      <c r="V74" s="7"/>
      <c r="W74" s="7"/>
      <c r="X74" s="7"/>
      <c r="Y74" s="7"/>
      <c r="Z74" s="7"/>
      <c r="AA74" s="7"/>
      <c r="AB74" s="7"/>
      <c r="AC74" s="7"/>
    </row>
    <row r="75" spans="1:29" x14ac:dyDescent="0.2">
      <c r="A75" s="2" t="s">
        <v>802</v>
      </c>
      <c r="B75" s="4"/>
      <c r="F75" s="23">
        <f t="shared" ref="F75:AC75" si="51">SUM(F$323,F$324,F$345,F$351,F$355,F$383,F$397,F$400,F$404,F$415,F$419)</f>
        <v>105.21600000000001</v>
      </c>
      <c r="G75" s="23">
        <f t="shared" si="51"/>
        <v>116.18199999999999</v>
      </c>
      <c r="H75" s="23">
        <f t="shared" si="51"/>
        <v>126.20099999999999</v>
      </c>
      <c r="I75" s="23">
        <f t="shared" si="51"/>
        <v>127.21499999999999</v>
      </c>
      <c r="J75" s="23">
        <f t="shared" si="51"/>
        <v>138.965</v>
      </c>
      <c r="K75" s="23">
        <f t="shared" si="51"/>
        <v>138.40899999999999</v>
      </c>
      <c r="L75" s="23">
        <f t="shared" si="51"/>
        <v>139.875</v>
      </c>
      <c r="M75" s="23">
        <f t="shared" si="51"/>
        <v>147.066</v>
      </c>
      <c r="N75" s="23">
        <f t="shared" si="51"/>
        <v>158.71300000000002</v>
      </c>
      <c r="O75" s="25">
        <f t="shared" si="51"/>
        <v>161.321</v>
      </c>
      <c r="P75" s="25">
        <f t="shared" si="51"/>
        <v>170.512</v>
      </c>
      <c r="Q75" s="25">
        <f t="shared" si="51"/>
        <v>170.51299999999998</v>
      </c>
      <c r="R75" s="25">
        <f t="shared" si="51"/>
        <v>173.548</v>
      </c>
      <c r="S75" s="25">
        <f t="shared" si="51"/>
        <v>182.16799999999998</v>
      </c>
      <c r="T75" s="11">
        <f t="shared" ca="1" si="51"/>
        <v>189.80167080197052</v>
      </c>
      <c r="U75" s="11">
        <f t="shared" ca="1" si="51"/>
        <v>197.50797512209741</v>
      </c>
      <c r="V75" s="11">
        <f t="shared" ca="1" si="51"/>
        <v>208.70781894899488</v>
      </c>
      <c r="W75" s="11">
        <f t="shared" ca="1" si="51"/>
        <v>220.15269908986502</v>
      </c>
      <c r="X75" s="11">
        <f t="shared" ca="1" si="51"/>
        <v>231.86951639443311</v>
      </c>
      <c r="Y75" s="11">
        <f t="shared" ca="1" si="51"/>
        <v>243.80907543272676</v>
      </c>
      <c r="Z75" s="11">
        <f t="shared" ca="1" si="51"/>
        <v>255.9777507301319</v>
      </c>
      <c r="AA75" s="11">
        <f t="shared" ca="1" si="51"/>
        <v>268.37030262919188</v>
      </c>
      <c r="AB75" s="11">
        <f t="shared" ca="1" si="51"/>
        <v>280.97620972133598</v>
      </c>
      <c r="AC75" s="11">
        <f t="shared" ca="1" si="51"/>
        <v>293.85545222997513</v>
      </c>
    </row>
    <row r="76" spans="1:29" x14ac:dyDescent="0.2">
      <c r="A76" s="2" t="s">
        <v>697</v>
      </c>
      <c r="B76" s="4" t="str">
        <f>$B$46</f>
        <v>From Fiscal Forecasts</v>
      </c>
      <c r="F76" s="23">
        <f>'Fiscal Forecasts'!F$193</f>
        <v>35.884999999999998</v>
      </c>
      <c r="G76" s="23">
        <f>'Fiscal Forecasts'!G$193</f>
        <v>37.167000000000002</v>
      </c>
      <c r="H76" s="23">
        <f>'Fiscal Forecasts'!H$193</f>
        <v>49.889000000000003</v>
      </c>
      <c r="I76" s="23">
        <f>'Fiscal Forecasts'!I$193</f>
        <v>57.582999999999998</v>
      </c>
      <c r="J76" s="23">
        <f>'Fiscal Forecasts'!J$193</f>
        <v>76.826999999999998</v>
      </c>
      <c r="K76" s="23">
        <f>'Fiscal Forecasts'!K$193</f>
        <v>84.51</v>
      </c>
      <c r="L76" s="23">
        <f>'Fiscal Forecasts'!L$193</f>
        <v>84.87</v>
      </c>
      <c r="M76" s="23">
        <f>'Fiscal Forecasts'!M$193</f>
        <v>89.09</v>
      </c>
      <c r="N76" s="23">
        <f>'Fiscal Forecasts'!N$193</f>
        <v>95.549000000000007</v>
      </c>
      <c r="O76" s="25">
        <f>'Fiscal Forecasts'!O$193</f>
        <v>98.090999999999994</v>
      </c>
      <c r="P76" s="25">
        <f>'Fiscal Forecasts'!P$193</f>
        <v>106.693</v>
      </c>
      <c r="Q76" s="25">
        <f>'Fiscal Forecasts'!Q$193</f>
        <v>103.944</v>
      </c>
      <c r="R76" s="25">
        <f>'Fiscal Forecasts'!R$193</f>
        <v>100.923</v>
      </c>
      <c r="S76" s="25">
        <f>'Fiscal Forecasts'!S$193</f>
        <v>102.364</v>
      </c>
      <c r="T76" s="11">
        <f t="shared" ref="T76:AC76" ca="1" si="52">T$85</f>
        <v>100.77354353051919</v>
      </c>
      <c r="U76" s="11">
        <f t="shared" ca="1" si="52"/>
        <v>97.810652678160693</v>
      </c>
      <c r="V76" s="11">
        <f t="shared" ca="1" si="52"/>
        <v>96.737683868328318</v>
      </c>
      <c r="W76" s="11">
        <f t="shared" ca="1" si="52"/>
        <v>94.396340950408629</v>
      </c>
      <c r="X76" s="11">
        <f t="shared" ca="1" si="52"/>
        <v>90.876748380909817</v>
      </c>
      <c r="Y76" s="11">
        <f t="shared" ca="1" si="52"/>
        <v>85.998870362401235</v>
      </c>
      <c r="Z76" s="11">
        <f t="shared" ca="1" si="52"/>
        <v>79.650435488250395</v>
      </c>
      <c r="AA76" s="11">
        <f t="shared" ca="1" si="52"/>
        <v>71.566690319106684</v>
      </c>
      <c r="AB76" s="11">
        <f t="shared" ca="1" si="52"/>
        <v>61.60280620288097</v>
      </c>
      <c r="AC76" s="11">
        <f t="shared" ca="1" si="52"/>
        <v>49.602880875253362</v>
      </c>
    </row>
    <row r="77" spans="1:29" x14ac:dyDescent="0.2">
      <c r="A77" s="2" t="s">
        <v>883</v>
      </c>
      <c r="B77" s="4"/>
      <c r="F77" s="23">
        <f>SUM(F$424,F$430,F$433,F$437,F$444,F$452)</f>
        <v>18.537999999999997</v>
      </c>
      <c r="G77" s="23">
        <f t="shared" ref="G77:AC77" si="53">SUM(G$424,G$430,G$433,G$437,G$444,G$452)</f>
        <v>22.031999999999996</v>
      </c>
      <c r="H77" s="23">
        <f t="shared" si="53"/>
        <v>23.242000000000001</v>
      </c>
      <c r="I77" s="23">
        <f t="shared" si="53"/>
        <v>24.963000000000001</v>
      </c>
      <c r="J77" s="23">
        <f t="shared" si="53"/>
        <v>27.206999999999997</v>
      </c>
      <c r="K77" s="23">
        <f t="shared" si="53"/>
        <v>30.528000000000002</v>
      </c>
      <c r="L77" s="23">
        <f t="shared" si="53"/>
        <v>29.391999999999999</v>
      </c>
      <c r="M77" s="23">
        <f t="shared" si="53"/>
        <v>29.299999999999997</v>
      </c>
      <c r="N77" s="23">
        <f t="shared" si="53"/>
        <v>29.762</v>
      </c>
      <c r="O77" s="25">
        <f t="shared" si="53"/>
        <v>29.946999999999999</v>
      </c>
      <c r="P77" s="25">
        <f t="shared" si="53"/>
        <v>28.216000000000001</v>
      </c>
      <c r="Q77" s="25">
        <f t="shared" si="53"/>
        <v>27.956</v>
      </c>
      <c r="R77" s="25">
        <f t="shared" si="53"/>
        <v>28.340999999999998</v>
      </c>
      <c r="S77" s="25">
        <f t="shared" si="53"/>
        <v>28.239000000000001</v>
      </c>
      <c r="T77" s="11">
        <f t="shared" ca="1" si="53"/>
        <v>29.057366490458996</v>
      </c>
      <c r="U77" s="11">
        <f t="shared" ca="1" si="53"/>
        <v>29.862760549575654</v>
      </c>
      <c r="V77" s="11">
        <f t="shared" ca="1" si="53"/>
        <v>30.771492889551819</v>
      </c>
      <c r="W77" s="11">
        <f t="shared" ca="1" si="53"/>
        <v>31.691505349250917</v>
      </c>
      <c r="X77" s="11">
        <f t="shared" ca="1" si="53"/>
        <v>32.613265193855533</v>
      </c>
      <c r="Y77" s="11">
        <f t="shared" ca="1" si="53"/>
        <v>33.54195797473362</v>
      </c>
      <c r="Z77" s="11">
        <f t="shared" ca="1" si="53"/>
        <v>34.509440440090231</v>
      </c>
      <c r="AA77" s="11">
        <f t="shared" ca="1" si="53"/>
        <v>35.513218959490203</v>
      </c>
      <c r="AB77" s="11">
        <f t="shared" ca="1" si="53"/>
        <v>36.538688783942597</v>
      </c>
      <c r="AC77" s="11">
        <f t="shared" ca="1" si="53"/>
        <v>37.594580436269652</v>
      </c>
    </row>
    <row r="78" spans="1:29" x14ac:dyDescent="0.2">
      <c r="A78" s="2" t="s">
        <v>908</v>
      </c>
      <c r="B78" s="4"/>
      <c r="F78" s="23">
        <f>F$75-SUM(F$76,F$77)</f>
        <v>50.793000000000013</v>
      </c>
      <c r="G78" s="23">
        <f t="shared" ref="G78:AC78" si="54">G$75-SUM(G$76,G$77)</f>
        <v>56.98299999999999</v>
      </c>
      <c r="H78" s="23">
        <f t="shared" si="54"/>
        <v>53.069999999999993</v>
      </c>
      <c r="I78" s="23">
        <f t="shared" si="54"/>
        <v>44.668999999999997</v>
      </c>
      <c r="J78" s="23">
        <f t="shared" si="54"/>
        <v>34.931000000000012</v>
      </c>
      <c r="K78" s="23">
        <f t="shared" si="54"/>
        <v>23.370999999999981</v>
      </c>
      <c r="L78" s="23">
        <f t="shared" si="54"/>
        <v>25.613</v>
      </c>
      <c r="M78" s="23">
        <f t="shared" si="54"/>
        <v>28.676000000000002</v>
      </c>
      <c r="N78" s="23">
        <f t="shared" si="54"/>
        <v>33.402000000000015</v>
      </c>
      <c r="O78" s="25">
        <f t="shared" si="54"/>
        <v>33.283000000000015</v>
      </c>
      <c r="P78" s="25">
        <f t="shared" si="54"/>
        <v>35.603000000000009</v>
      </c>
      <c r="Q78" s="25">
        <f t="shared" si="54"/>
        <v>38.612999999999971</v>
      </c>
      <c r="R78" s="25">
        <f t="shared" si="54"/>
        <v>44.283999999999992</v>
      </c>
      <c r="S78" s="25">
        <f t="shared" si="54"/>
        <v>51.564999999999969</v>
      </c>
      <c r="T78" s="11">
        <f t="shared" ca="1" si="54"/>
        <v>59.970760780992322</v>
      </c>
      <c r="U78" s="11">
        <f t="shared" ca="1" si="54"/>
        <v>69.834561894361059</v>
      </c>
      <c r="V78" s="11">
        <f t="shared" ca="1" si="54"/>
        <v>81.198642191114743</v>
      </c>
      <c r="W78" s="11">
        <f t="shared" ca="1" si="54"/>
        <v>94.064852790205478</v>
      </c>
      <c r="X78" s="11">
        <f t="shared" ca="1" si="54"/>
        <v>108.37950281966775</v>
      </c>
      <c r="Y78" s="11">
        <f t="shared" ca="1" si="54"/>
        <v>124.2682470955919</v>
      </c>
      <c r="Z78" s="11">
        <f t="shared" ca="1" si="54"/>
        <v>141.81787480179128</v>
      </c>
      <c r="AA78" s="11">
        <f t="shared" ca="1" si="54"/>
        <v>161.290393350595</v>
      </c>
      <c r="AB78" s="11">
        <f t="shared" ca="1" si="54"/>
        <v>182.8347147345124</v>
      </c>
      <c r="AC78" s="11">
        <f t="shared" ca="1" si="54"/>
        <v>206.65799091845213</v>
      </c>
    </row>
    <row r="79" spans="1:29" x14ac:dyDescent="0.2">
      <c r="A79" s="5" t="s">
        <v>906</v>
      </c>
      <c r="B79" s="4" t="str">
        <f>$B$73</f>
        <v>Projected Years only</v>
      </c>
      <c r="F79" s="26"/>
      <c r="G79" s="26"/>
      <c r="H79" s="26"/>
      <c r="I79" s="26"/>
      <c r="J79" s="26"/>
      <c r="K79" s="26"/>
      <c r="L79" s="26"/>
      <c r="M79" s="26"/>
      <c r="N79" s="26"/>
      <c r="O79" s="26"/>
      <c r="P79" s="26"/>
      <c r="Q79" s="26"/>
      <c r="R79" s="26"/>
      <c r="S79" s="26"/>
      <c r="T79" s="7" t="str">
        <f t="shared" ref="T79:AC79" ca="1" si="55">IF(ROUND(T$57-(T$78-S$78)-(S$85-S$76),3)=0,"OK","ERROR")</f>
        <v>OK</v>
      </c>
      <c r="U79" s="7" t="str">
        <f t="shared" ca="1" si="55"/>
        <v>OK</v>
      </c>
      <c r="V79" s="7" t="str">
        <f t="shared" ca="1" si="55"/>
        <v>OK</v>
      </c>
      <c r="W79" s="7" t="str">
        <f t="shared" ca="1" si="55"/>
        <v>OK</v>
      </c>
      <c r="X79" s="7" t="str">
        <f t="shared" ca="1" si="55"/>
        <v>OK</v>
      </c>
      <c r="Y79" s="7" t="str">
        <f t="shared" ca="1" si="55"/>
        <v>OK</v>
      </c>
      <c r="Z79" s="7" t="str">
        <f t="shared" ca="1" si="55"/>
        <v>OK</v>
      </c>
      <c r="AA79" s="7" t="str">
        <f t="shared" ca="1" si="55"/>
        <v>OK</v>
      </c>
      <c r="AB79" s="7" t="str">
        <f t="shared" ca="1" si="55"/>
        <v>OK</v>
      </c>
      <c r="AC79" s="7" t="str">
        <f t="shared" ca="1" si="55"/>
        <v>OK</v>
      </c>
    </row>
    <row r="80" spans="1:29" x14ac:dyDescent="0.2">
      <c r="A80" s="5" t="s">
        <v>882</v>
      </c>
      <c r="B80" s="4" t="str">
        <f>$B$74</f>
        <v>Historic &amp; forecast yrs</v>
      </c>
      <c r="F80" s="7" t="str">
        <f>IF(ROUND('Fiscal Forecasts'!F$199-F$78,3)=0,"OK","ERROR")</f>
        <v>OK</v>
      </c>
      <c r="G80" s="7" t="str">
        <f>IF(ROUND('Fiscal Forecasts'!G$199-G$78,3)=0,"OK","ERROR")</f>
        <v>OK</v>
      </c>
      <c r="H80" s="7" t="str">
        <f>IF(ROUND('Fiscal Forecasts'!H$199-H$78,3)=0,"OK","ERROR")</f>
        <v>OK</v>
      </c>
      <c r="I80" s="7" t="str">
        <f>IF(ROUND('Fiscal Forecasts'!I$199-I$78,3)=0,"OK","ERROR")</f>
        <v>OK</v>
      </c>
      <c r="J80" s="7" t="str">
        <f>IF(ROUND('Fiscal Forecasts'!J$199-J$78,3)=0,"OK","ERROR")</f>
        <v>OK</v>
      </c>
      <c r="K80" s="7" t="str">
        <f>IF(ROUND('Fiscal Forecasts'!K$199-K$78,3)=0,"OK","ERROR")</f>
        <v>OK</v>
      </c>
      <c r="L80" s="7" t="str">
        <f>IF(ROUND('Fiscal Forecasts'!L$199-L$78,3)=0,"OK","ERROR")</f>
        <v>OK</v>
      </c>
      <c r="M80" s="7" t="str">
        <f>IF(ROUND('Fiscal Forecasts'!M$199-M$78,3)=0,"OK","ERROR")</f>
        <v>OK</v>
      </c>
      <c r="N80" s="7" t="str">
        <f>IF(ROUND('Fiscal Forecasts'!N$199-N$78,3)=0,"OK","ERROR")</f>
        <v>OK</v>
      </c>
      <c r="O80" s="7" t="str">
        <f>IF(ROUND('Fiscal Forecasts'!O$199-O$78,3)=0,"OK","ERROR")</f>
        <v>OK</v>
      </c>
      <c r="P80" s="7" t="str">
        <f>IF(ROUND('Fiscal Forecasts'!P$199-P$78,3)=0,"OK","ERROR")</f>
        <v>OK</v>
      </c>
      <c r="Q80" s="7" t="str">
        <f>IF(ROUND('Fiscal Forecasts'!Q$199-Q$78,3)=0,"OK","ERROR")</f>
        <v>OK</v>
      </c>
      <c r="R80" s="7" t="str">
        <f>IF(ROUND('Fiscal Forecasts'!R$199-R$78,3)=0,"OK","ERROR")</f>
        <v>OK</v>
      </c>
      <c r="S80" s="7" t="str">
        <f>IF(ROUND('Fiscal Forecasts'!S$199-S$78,3)=0,"OK","ERROR")</f>
        <v>OK</v>
      </c>
      <c r="T80" s="26"/>
      <c r="U80" s="26"/>
      <c r="V80" s="26"/>
      <c r="W80" s="26"/>
      <c r="X80" s="26"/>
      <c r="Y80" s="26"/>
      <c r="Z80" s="26"/>
      <c r="AA80" s="26"/>
      <c r="AB80" s="26"/>
      <c r="AC80" s="26"/>
    </row>
    <row r="81" spans="1:29" ht="15.75" x14ac:dyDescent="0.25">
      <c r="A81" s="1" t="s">
        <v>394</v>
      </c>
      <c r="F81" s="30"/>
      <c r="G81" s="30"/>
      <c r="H81" s="30"/>
      <c r="I81" s="30"/>
      <c r="J81" s="30"/>
      <c r="K81" s="30"/>
      <c r="L81" s="30"/>
      <c r="M81" s="30"/>
      <c r="N81" s="30"/>
      <c r="O81" s="30"/>
      <c r="P81" s="30"/>
      <c r="Q81" s="30"/>
      <c r="R81" s="30"/>
      <c r="S81" s="30"/>
      <c r="T81" s="30"/>
      <c r="U81" s="30"/>
      <c r="V81" s="30"/>
      <c r="W81" s="30"/>
      <c r="X81" s="30"/>
      <c r="Y81" s="30"/>
      <c r="Z81" s="30"/>
      <c r="AA81" s="30"/>
      <c r="AB81" s="30"/>
      <c r="AC81" s="30"/>
    </row>
    <row r="82" spans="1:29" x14ac:dyDescent="0.2">
      <c r="A82" s="3" t="s">
        <v>648</v>
      </c>
      <c r="B82" s="4" t="str">
        <f>$B$46</f>
        <v>From Fiscal Forecasts</v>
      </c>
      <c r="F82" s="65">
        <f>'Fiscal Forecasts'!F$147</f>
        <v>31.163</v>
      </c>
      <c r="G82" s="65">
        <f>'Fiscal Forecasts'!G$147</f>
        <v>33.192</v>
      </c>
      <c r="H82" s="65">
        <f>'Fiscal Forecasts'!H$147</f>
        <v>44.448</v>
      </c>
      <c r="I82" s="65">
        <f>'Fiscal Forecasts'!I$147</f>
        <v>50.017000000000003</v>
      </c>
      <c r="J82" s="65">
        <f>'Fiscal Forecasts'!J$147</f>
        <v>67.765000000000001</v>
      </c>
      <c r="K82" s="65">
        <f>'Fiscal Forecasts'!K$147</f>
        <v>75.700999999999993</v>
      </c>
      <c r="L82" s="65">
        <f>'Fiscal Forecasts'!L$147</f>
        <v>75.683999999999997</v>
      </c>
      <c r="M82" s="65">
        <f>'Fiscal Forecasts'!M$147</f>
        <v>77.460999999999999</v>
      </c>
      <c r="N82" s="65">
        <f>'Fiscal Forecasts'!N$147</f>
        <v>84.007999999999996</v>
      </c>
      <c r="O82" s="73">
        <f>'Fiscal Forecasts'!O$147</f>
        <v>86.457999999999998</v>
      </c>
      <c r="P82" s="73">
        <f>'Fiscal Forecasts'!P$147</f>
        <v>95.024000000000001</v>
      </c>
      <c r="Q82" s="73">
        <f>'Fiscal Forecasts'!Q$147</f>
        <v>91.835999999999999</v>
      </c>
      <c r="R82" s="73">
        <f>'Fiscal Forecasts'!R$147</f>
        <v>88.290999999999997</v>
      </c>
      <c r="S82" s="73">
        <f>'Fiscal Forecasts'!S$147</f>
        <v>89.182000000000002</v>
      </c>
      <c r="T82" s="26">
        <f ca="1">IF(T$4=OFFSET(Choices!$B$10,0,$C$1),AVERAGE(Q$82/Q$87,R$82/R$87,S$82/S$87),S$82/S$87)*T$87</f>
        <v>87.907518473250704</v>
      </c>
      <c r="U82" s="26">
        <f ca="1">IF(U$4=OFFSET(Choices!$B$10,0,$C$1),AVERAGE(R$82/R$87,S$82/S$87,T$82/T$87),T$82/T$87)*U$87</f>
        <v>85.033052886628752</v>
      </c>
      <c r="V82" s="26">
        <f ca="1">IF(V$4=OFFSET(Choices!$B$10,0,$C$1),AVERAGE(S$82/S$87,T$82/T$87,U$82/U$87),U$82/U$87)*V$87</f>
        <v>83.629959218364149</v>
      </c>
      <c r="W82" s="26">
        <f ca="1">IF(W$4=OFFSET(Choices!$B$10,0,$C$1),AVERAGE(T$82/T$87,U$82/U$87,V$82/V$87),V$82/V$87)*W$87</f>
        <v>81.067911012416189</v>
      </c>
      <c r="X82" s="26">
        <f ca="1">IF(X$4=OFFSET(Choices!$B$10,0,$C$1),AVERAGE(U$82/U$87,V$82/V$87,W$82/W$87),W$82/W$87)*X$87</f>
        <v>77.429289173468746</v>
      </c>
      <c r="Y82" s="26">
        <f ca="1">IF(Y$4=OFFSET(Choices!$B$10,0,$C$1),AVERAGE(V$82/V$87,W$82/W$87,X$82/X$87),X$82/X$87)*Y$87</f>
        <v>72.554790096021591</v>
      </c>
      <c r="Z82" s="26">
        <f ca="1">IF(Z$4=OFFSET(Choices!$B$10,0,$C$1),AVERAGE(W$82/W$87,X$82/X$87,Y$82/Y$87),Y$82/Y$87)*Z$87</f>
        <v>66.3460853324071</v>
      </c>
      <c r="AA82" s="26">
        <f ca="1">IF(AA$4=OFFSET(Choices!$B$10,0,$C$1),AVERAGE(X$82/X$87,Y$82/Y$87,Z$82/Z$87),Z$82/Z$87)*AA$87</f>
        <v>58.564181177039359</v>
      </c>
      <c r="AB82" s="26">
        <f ca="1">IF(AB$4=OFFSET(Choices!$B$10,0,$C$1),AVERAGE(Y$82/Y$87,Z$82/Z$87,AA$82/AA$87),AA$82/AA$87)*AB$87</f>
        <v>49.078087289574206</v>
      </c>
      <c r="AC82" s="26">
        <f ca="1">IF(AC$4=OFFSET(Choices!$B$10,0,$C$1),AVERAGE(Z$82/Z$87,AA$82/AA$87,AB$82/AB$87),AB$82/AB$87)*AC$87</f>
        <v>37.743531288236191</v>
      </c>
    </row>
    <row r="83" spans="1:29" x14ac:dyDescent="0.2">
      <c r="A83" s="3" t="s">
        <v>649</v>
      </c>
      <c r="B83" s="4" t="str">
        <f>$B$46</f>
        <v>From Fiscal Forecasts</v>
      </c>
      <c r="F83" s="65">
        <f>'Fiscal Forecasts'!F$148</f>
        <v>10.734999999999999</v>
      </c>
      <c r="G83" s="65">
        <f>'Fiscal Forecasts'!G$148</f>
        <v>12.917999999999999</v>
      </c>
      <c r="H83" s="65">
        <f>'Fiscal Forecasts'!H$148</f>
        <v>17.504999999999999</v>
      </c>
      <c r="I83" s="65">
        <f>'Fiscal Forecasts'!I$148</f>
        <v>19.716000000000001</v>
      </c>
      <c r="J83" s="65">
        <f>'Fiscal Forecasts'!J$148</f>
        <v>22.48</v>
      </c>
      <c r="K83" s="65">
        <f>'Fiscal Forecasts'!K$148</f>
        <v>24.832999999999998</v>
      </c>
      <c r="L83" s="65">
        <f>'Fiscal Forecasts'!L$148</f>
        <v>24.402999999999999</v>
      </c>
      <c r="M83" s="65">
        <f>'Fiscal Forecasts'!M$148</f>
        <v>25.957999999999998</v>
      </c>
      <c r="N83" s="65">
        <f>'Fiscal Forecasts'!N$148</f>
        <v>28.571999999999999</v>
      </c>
      <c r="O83" s="73">
        <f>'Fiscal Forecasts'!O$148</f>
        <v>30.518000000000001</v>
      </c>
      <c r="P83" s="73">
        <f>'Fiscal Forecasts'!P$148</f>
        <v>31.847000000000001</v>
      </c>
      <c r="Q83" s="73">
        <f>'Fiscal Forecasts'!Q$148</f>
        <v>33.405999999999999</v>
      </c>
      <c r="R83" s="73">
        <f>'Fiscal Forecasts'!R$148</f>
        <v>35.042000000000002</v>
      </c>
      <c r="S83" s="73">
        <f>'Fiscal Forecasts'!S$148</f>
        <v>36.460999999999999</v>
      </c>
      <c r="T83" s="26">
        <f t="shared" ref="T83:AC83" ca="1" si="56">SUM(S$82,S$83,T$113,T$227-T$103)-T$82</f>
        <v>35.645757650608758</v>
      </c>
      <c r="U83" s="26">
        <f t="shared" ca="1" si="56"/>
        <v>35.028376759306724</v>
      </c>
      <c r="V83" s="26">
        <f t="shared" ca="1" si="56"/>
        <v>34.850109180014314</v>
      </c>
      <c r="W83" s="26">
        <f t="shared" ca="1" si="56"/>
        <v>34.668295079143263</v>
      </c>
      <c r="X83" s="26">
        <f t="shared" ca="1" si="56"/>
        <v>34.45491169029377</v>
      </c>
      <c r="Y83" s="26">
        <f t="shared" ca="1" si="56"/>
        <v>34.331859412718131</v>
      </c>
      <c r="Z83" s="26">
        <f t="shared" ca="1" si="56"/>
        <v>34.096599386674484</v>
      </c>
      <c r="AA83" s="26">
        <f t="shared" ca="1" si="56"/>
        <v>33.75276346611264</v>
      </c>
      <c r="AB83" s="26">
        <f t="shared" ca="1" si="56"/>
        <v>33.279808930754363</v>
      </c>
      <c r="AC83" s="26">
        <f t="shared" ca="1" si="56"/>
        <v>32.643320465871959</v>
      </c>
    </row>
    <row r="84" spans="1:29" x14ac:dyDescent="0.2">
      <c r="A84" s="31" t="s">
        <v>335</v>
      </c>
      <c r="F84" s="56">
        <f>SUM(F$82:F$83)</f>
        <v>41.897999999999996</v>
      </c>
      <c r="G84" s="56">
        <f t="shared" ref="G84:AC84" si="57">SUM(G$82:G$83)</f>
        <v>46.11</v>
      </c>
      <c r="H84" s="56">
        <f t="shared" si="57"/>
        <v>61.953000000000003</v>
      </c>
      <c r="I84" s="56">
        <f t="shared" si="57"/>
        <v>69.733000000000004</v>
      </c>
      <c r="J84" s="56">
        <f t="shared" si="57"/>
        <v>90.245000000000005</v>
      </c>
      <c r="K84" s="56">
        <f t="shared" si="57"/>
        <v>100.53399999999999</v>
      </c>
      <c r="L84" s="56">
        <f t="shared" si="57"/>
        <v>100.08699999999999</v>
      </c>
      <c r="M84" s="56">
        <f t="shared" si="57"/>
        <v>103.419</v>
      </c>
      <c r="N84" s="56">
        <f t="shared" si="57"/>
        <v>112.58</v>
      </c>
      <c r="O84" s="57">
        <f t="shared" si="57"/>
        <v>116.976</v>
      </c>
      <c r="P84" s="57">
        <f t="shared" si="57"/>
        <v>126.87100000000001</v>
      </c>
      <c r="Q84" s="57">
        <f t="shared" si="57"/>
        <v>125.24199999999999</v>
      </c>
      <c r="R84" s="57">
        <f t="shared" si="57"/>
        <v>123.333</v>
      </c>
      <c r="S84" s="57">
        <f t="shared" si="57"/>
        <v>125.643</v>
      </c>
      <c r="T84" s="58">
        <f t="shared" ca="1" si="57"/>
        <v>123.55327612385946</v>
      </c>
      <c r="U84" s="58">
        <f t="shared" ca="1" si="57"/>
        <v>120.06142964593548</v>
      </c>
      <c r="V84" s="58">
        <f t="shared" ca="1" si="57"/>
        <v>118.48006839837846</v>
      </c>
      <c r="W84" s="58">
        <f t="shared" ca="1" si="57"/>
        <v>115.73620609155945</v>
      </c>
      <c r="X84" s="58">
        <f t="shared" ca="1" si="57"/>
        <v>111.88420086376252</v>
      </c>
      <c r="Y84" s="58">
        <f t="shared" ca="1" si="57"/>
        <v>106.88664950873972</v>
      </c>
      <c r="Z84" s="58">
        <f t="shared" ca="1" si="57"/>
        <v>100.44268471908158</v>
      </c>
      <c r="AA84" s="58">
        <f t="shared" ca="1" si="57"/>
        <v>92.316944643151999</v>
      </c>
      <c r="AB84" s="58">
        <f t="shared" ca="1" si="57"/>
        <v>82.35789622032857</v>
      </c>
      <c r="AC84" s="58">
        <f t="shared" ca="1" si="57"/>
        <v>70.38685175410815</v>
      </c>
    </row>
    <row r="85" spans="1:29" x14ac:dyDescent="0.2">
      <c r="A85" s="3" t="s">
        <v>650</v>
      </c>
      <c r="B85" s="4" t="str">
        <f>$B$46</f>
        <v>From Fiscal Forecasts</v>
      </c>
      <c r="F85" s="65">
        <f>'Fiscal Forecasts'!F$150</f>
        <v>35.892000000000003</v>
      </c>
      <c r="G85" s="65">
        <f>'Fiscal Forecasts'!G$150</f>
        <v>37.335999999999999</v>
      </c>
      <c r="H85" s="65">
        <f>'Fiscal Forecasts'!H$150</f>
        <v>50.545000000000002</v>
      </c>
      <c r="I85" s="65">
        <f>'Fiscal Forecasts'!I$150</f>
        <v>58.582999999999998</v>
      </c>
      <c r="J85" s="65">
        <f>'Fiscal Forecasts'!J$150</f>
        <v>76.885000000000005</v>
      </c>
      <c r="K85" s="65">
        <f>'Fiscal Forecasts'!K$150</f>
        <v>84.68</v>
      </c>
      <c r="L85" s="65">
        <f>'Fiscal Forecasts'!L$150</f>
        <v>84.873000000000005</v>
      </c>
      <c r="M85" s="65">
        <f>'Fiscal Forecasts'!M$150</f>
        <v>89.09</v>
      </c>
      <c r="N85" s="65">
        <f>'Fiscal Forecasts'!N$150</f>
        <v>95.649000000000001</v>
      </c>
      <c r="O85" s="73">
        <f>'Fiscal Forecasts'!O$150</f>
        <v>98.09</v>
      </c>
      <c r="P85" s="73">
        <f>'Fiscal Forecasts'!P$150</f>
        <v>106.69</v>
      </c>
      <c r="Q85" s="73">
        <f>'Fiscal Forecasts'!Q$150</f>
        <v>103.94199999999999</v>
      </c>
      <c r="R85" s="73">
        <f>'Fiscal Forecasts'!R$150</f>
        <v>100.922</v>
      </c>
      <c r="S85" s="73">
        <f>'Fiscal Forecasts'!S$150</f>
        <v>102.363</v>
      </c>
      <c r="T85" s="26">
        <f t="shared" ref="T85:AC85" ca="1" si="58">SUM(S$85,T$483,T$223-(-T$462))</f>
        <v>100.77354353051919</v>
      </c>
      <c r="U85" s="26">
        <f t="shared" ca="1" si="58"/>
        <v>97.810652678160693</v>
      </c>
      <c r="V85" s="26">
        <f t="shared" ca="1" si="58"/>
        <v>96.737683868328318</v>
      </c>
      <c r="W85" s="26">
        <f t="shared" ca="1" si="58"/>
        <v>94.396340950408629</v>
      </c>
      <c r="X85" s="26">
        <f t="shared" ca="1" si="58"/>
        <v>90.876748380909817</v>
      </c>
      <c r="Y85" s="26">
        <f t="shared" ca="1" si="58"/>
        <v>85.998870362401235</v>
      </c>
      <c r="Z85" s="26">
        <f t="shared" ca="1" si="58"/>
        <v>79.650435488250395</v>
      </c>
      <c r="AA85" s="26">
        <f t="shared" ca="1" si="58"/>
        <v>71.566690319106684</v>
      </c>
      <c r="AB85" s="26">
        <f t="shared" ca="1" si="58"/>
        <v>61.60280620288097</v>
      </c>
      <c r="AC85" s="26">
        <f t="shared" ca="1" si="58"/>
        <v>49.602880875253362</v>
      </c>
    </row>
    <row r="86" spans="1:29" x14ac:dyDescent="0.2">
      <c r="A86" s="3" t="s">
        <v>816</v>
      </c>
      <c r="B86" s="4" t="str">
        <f>$B$46</f>
        <v>From Fiscal Forecasts</v>
      </c>
      <c r="F86" s="65">
        <f>'Fiscal Forecasts'!F$151</f>
        <v>0.91300000000000003</v>
      </c>
      <c r="G86" s="65">
        <f>'Fiscal Forecasts'!G$151</f>
        <v>0.40899999999999997</v>
      </c>
      <c r="H86" s="65">
        <f>'Fiscal Forecasts'!H$151</f>
        <v>0.42799999999999999</v>
      </c>
      <c r="I86" s="65">
        <f>'Fiscal Forecasts'!I$151</f>
        <v>0.308</v>
      </c>
      <c r="J86" s="65">
        <f>'Fiscal Forecasts'!J$151</f>
        <v>0.40500000000000003</v>
      </c>
      <c r="K86" s="65">
        <f>'Fiscal Forecasts'!K$151</f>
        <v>-0.51200000000000001</v>
      </c>
      <c r="L86" s="65">
        <f>'Fiscal Forecasts'!L$151</f>
        <v>-0.58699999999999997</v>
      </c>
      <c r="M86" s="65">
        <f>'Fiscal Forecasts'!M$151</f>
        <v>-0.622</v>
      </c>
      <c r="N86" s="65">
        <f>'Fiscal Forecasts'!N$151</f>
        <v>-2.4929999999999999</v>
      </c>
      <c r="O86" s="73">
        <f>'Fiscal Forecasts'!O$151</f>
        <v>-3.177</v>
      </c>
      <c r="P86" s="73">
        <f>'Fiscal Forecasts'!P$151</f>
        <v>-3.2240000000000002</v>
      </c>
      <c r="Q86" s="73">
        <f>'Fiscal Forecasts'!Q$151</f>
        <v>-3.226</v>
      </c>
      <c r="R86" s="73">
        <f>'Fiscal Forecasts'!R$151</f>
        <v>-3.2250000000000001</v>
      </c>
      <c r="S86" s="73">
        <f>'Fiscal Forecasts'!S$151</f>
        <v>-3.2269999999999999</v>
      </c>
      <c r="T86" s="26">
        <f t="shared" ref="T86:AC86" ca="1" si="59">-SUM(-S$86,SUM(T$370-T$348,T$372)-SUM(S$370-S$348,S$372)-(T$362-(T$348-S$348)-T$363-(T$364-(T$427-S$427)))-SUM(T$365:T$367))</f>
        <v>-3.6434051505613647</v>
      </c>
      <c r="U86" s="26">
        <f t="shared" ca="1" si="59"/>
        <v>-3.8565479873118664</v>
      </c>
      <c r="V86" s="26">
        <f t="shared" ca="1" si="59"/>
        <v>-4.3338752673418579</v>
      </c>
      <c r="W86" s="26">
        <f t="shared" ca="1" si="59"/>
        <v>-4.8233720898883989</v>
      </c>
      <c r="X86" s="26">
        <f t="shared" ca="1" si="59"/>
        <v>-5.3241391991449829</v>
      </c>
      <c r="Y86" s="26">
        <f t="shared" ca="1" si="59"/>
        <v>-5.8321573832403626</v>
      </c>
      <c r="Z86" s="26">
        <f t="shared" ca="1" si="59"/>
        <v>-6.3437995915029086</v>
      </c>
      <c r="AA86" s="26">
        <f t="shared" ca="1" si="59"/>
        <v>-6.8583795781356836</v>
      </c>
      <c r="AB86" s="26">
        <f t="shared" ca="1" si="59"/>
        <v>-7.3758015888157127</v>
      </c>
      <c r="AC86" s="26">
        <f t="shared" ca="1" si="59"/>
        <v>-7.8995717539728689</v>
      </c>
    </row>
    <row r="87" spans="1:29" x14ac:dyDescent="0.2">
      <c r="A87" s="31" t="s">
        <v>340</v>
      </c>
      <c r="F87" s="56">
        <f>SUM(F$85:F$86)</f>
        <v>36.805</v>
      </c>
      <c r="G87" s="56">
        <f t="shared" ref="G87:AC87" si="60">SUM(G$85:G$86)</f>
        <v>37.744999999999997</v>
      </c>
      <c r="H87" s="56">
        <f t="shared" si="60"/>
        <v>50.972999999999999</v>
      </c>
      <c r="I87" s="56">
        <f t="shared" si="60"/>
        <v>58.890999999999998</v>
      </c>
      <c r="J87" s="56">
        <f t="shared" si="60"/>
        <v>77.290000000000006</v>
      </c>
      <c r="K87" s="56">
        <f t="shared" si="60"/>
        <v>84.168000000000006</v>
      </c>
      <c r="L87" s="56">
        <f t="shared" si="60"/>
        <v>84.286000000000001</v>
      </c>
      <c r="M87" s="56">
        <f t="shared" si="60"/>
        <v>88.468000000000004</v>
      </c>
      <c r="N87" s="56">
        <f t="shared" si="60"/>
        <v>93.156000000000006</v>
      </c>
      <c r="O87" s="57">
        <f t="shared" si="60"/>
        <v>94.912999999999997</v>
      </c>
      <c r="P87" s="57">
        <f t="shared" si="60"/>
        <v>103.46599999999999</v>
      </c>
      <c r="Q87" s="57">
        <f t="shared" si="60"/>
        <v>100.71599999999999</v>
      </c>
      <c r="R87" s="57">
        <f t="shared" si="60"/>
        <v>97.697000000000003</v>
      </c>
      <c r="S87" s="57">
        <f t="shared" si="60"/>
        <v>99.135999999999996</v>
      </c>
      <c r="T87" s="58">
        <f t="shared" ca="1" si="60"/>
        <v>97.130138379957828</v>
      </c>
      <c r="U87" s="58">
        <f t="shared" ca="1" si="60"/>
        <v>93.954104690848823</v>
      </c>
      <c r="V87" s="58">
        <f t="shared" ca="1" si="60"/>
        <v>92.403808600986466</v>
      </c>
      <c r="W87" s="58">
        <f t="shared" ca="1" si="60"/>
        <v>89.572968860520234</v>
      </c>
      <c r="X87" s="58">
        <f t="shared" ca="1" si="60"/>
        <v>85.552609181764836</v>
      </c>
      <c r="Y87" s="58">
        <f t="shared" ca="1" si="60"/>
        <v>80.166712979160877</v>
      </c>
      <c r="Z87" s="58">
        <f t="shared" ca="1" si="60"/>
        <v>73.30663589674748</v>
      </c>
      <c r="AA87" s="58">
        <f t="shared" ca="1" si="60"/>
        <v>64.708310740971001</v>
      </c>
      <c r="AB87" s="58">
        <f t="shared" ca="1" si="60"/>
        <v>54.227004614065258</v>
      </c>
      <c r="AC87" s="58">
        <f t="shared" ca="1" si="60"/>
        <v>41.703309121280491</v>
      </c>
    </row>
    <row r="88" spans="1:29" x14ac:dyDescent="0.2">
      <c r="A88" s="3" t="s">
        <v>659</v>
      </c>
      <c r="B88" s="4" t="str">
        <f>$B$46</f>
        <v>From Fiscal Forecasts</v>
      </c>
      <c r="F88" s="65">
        <f>'Fiscal Forecasts'!F$153</f>
        <v>44.271999999999998</v>
      </c>
      <c r="G88" s="65">
        <f>'Fiscal Forecasts'!G$153</f>
        <v>50.698</v>
      </c>
      <c r="H88" s="65">
        <f>'Fiscal Forecasts'!H$153</f>
        <v>55.768999999999998</v>
      </c>
      <c r="I88" s="65">
        <f>'Fiscal Forecasts'!I$153</f>
        <v>57.209000000000003</v>
      </c>
      <c r="J88" s="65">
        <f>'Fiscal Forecasts'!J$153</f>
        <v>65.400000000000006</v>
      </c>
      <c r="K88" s="65">
        <f>'Fiscal Forecasts'!K$153</f>
        <v>64.016999999999996</v>
      </c>
      <c r="L88" s="65">
        <f>'Fiscal Forecasts'!L$153</f>
        <v>62.984000000000002</v>
      </c>
      <c r="M88" s="65">
        <f>'Fiscal Forecasts'!M$153</f>
        <v>68.046999999999997</v>
      </c>
      <c r="N88" s="65">
        <f>'Fiscal Forecasts'!N$153</f>
        <v>76.433999999999997</v>
      </c>
      <c r="O88" s="73">
        <f>'Fiscal Forecasts'!O$153</f>
        <v>75.212999999999994</v>
      </c>
      <c r="P88" s="73">
        <f>'Fiscal Forecasts'!P$153</f>
        <v>80.84</v>
      </c>
      <c r="Q88" s="73">
        <f>'Fiscal Forecasts'!Q$153</f>
        <v>77.722999999999999</v>
      </c>
      <c r="R88" s="73">
        <f>'Fiscal Forecasts'!R$153</f>
        <v>77.741</v>
      </c>
      <c r="S88" s="73">
        <f>'Fiscal Forecasts'!S$153</f>
        <v>83.314999999999998</v>
      </c>
      <c r="T88" s="26">
        <f t="shared" ref="T88:AC88" ca="1" si="61">SUM(T$345,T$355,T$383)</f>
        <v>87.616945888562753</v>
      </c>
      <c r="U88" s="26">
        <f t="shared" ca="1" si="61"/>
        <v>92.015707827831775</v>
      </c>
      <c r="V88" s="26">
        <f t="shared" ca="1" si="61"/>
        <v>99.528621532583387</v>
      </c>
      <c r="W88" s="26">
        <f t="shared" ca="1" si="61"/>
        <v>107.21806014849594</v>
      </c>
      <c r="X88" s="26">
        <f t="shared" ca="1" si="61"/>
        <v>115.07172003994737</v>
      </c>
      <c r="Y88" s="26">
        <f t="shared" ca="1" si="61"/>
        <v>123.03108059969851</v>
      </c>
      <c r="Z88" s="26">
        <f t="shared" ca="1" si="61"/>
        <v>131.09944883967827</v>
      </c>
      <c r="AA88" s="26">
        <f t="shared" ca="1" si="61"/>
        <v>139.26924962998478</v>
      </c>
      <c r="AB88" s="26">
        <f t="shared" ca="1" si="61"/>
        <v>147.5296798754205</v>
      </c>
      <c r="AC88" s="26">
        <f t="shared" ca="1" si="61"/>
        <v>155.9309338791403</v>
      </c>
    </row>
    <row r="89" spans="1:29" x14ac:dyDescent="0.2">
      <c r="A89" s="31" t="s">
        <v>339</v>
      </c>
      <c r="F89" s="56">
        <f>F$87-F$88</f>
        <v>-7.4669999999999987</v>
      </c>
      <c r="G89" s="56">
        <f t="shared" ref="G89:AC89" si="62">G$87-G$88</f>
        <v>-12.953000000000003</v>
      </c>
      <c r="H89" s="56">
        <f t="shared" si="62"/>
        <v>-4.7959999999999994</v>
      </c>
      <c r="I89" s="56">
        <f t="shared" si="62"/>
        <v>1.6819999999999951</v>
      </c>
      <c r="J89" s="56">
        <f t="shared" si="62"/>
        <v>11.89</v>
      </c>
      <c r="K89" s="56">
        <f t="shared" si="62"/>
        <v>20.15100000000001</v>
      </c>
      <c r="L89" s="56">
        <f t="shared" si="62"/>
        <v>21.302</v>
      </c>
      <c r="M89" s="56">
        <f t="shared" si="62"/>
        <v>20.421000000000006</v>
      </c>
      <c r="N89" s="56">
        <f t="shared" si="62"/>
        <v>16.722000000000008</v>
      </c>
      <c r="O89" s="57">
        <f t="shared" si="62"/>
        <v>19.700000000000003</v>
      </c>
      <c r="P89" s="57">
        <f t="shared" si="62"/>
        <v>22.625999999999991</v>
      </c>
      <c r="Q89" s="57">
        <f t="shared" si="62"/>
        <v>22.992999999999995</v>
      </c>
      <c r="R89" s="57">
        <f t="shared" si="62"/>
        <v>19.956000000000003</v>
      </c>
      <c r="S89" s="57">
        <f t="shared" si="62"/>
        <v>15.820999999999998</v>
      </c>
      <c r="T89" s="58">
        <f t="shared" ca="1" si="62"/>
        <v>9.5131924913950741</v>
      </c>
      <c r="U89" s="58">
        <f t="shared" ca="1" si="62"/>
        <v>1.9383968630170472</v>
      </c>
      <c r="V89" s="58">
        <f t="shared" ca="1" si="62"/>
        <v>-7.1248129315969209</v>
      </c>
      <c r="W89" s="58">
        <f t="shared" ca="1" si="62"/>
        <v>-17.645091287975703</v>
      </c>
      <c r="X89" s="58">
        <f t="shared" ca="1" si="62"/>
        <v>-29.519110858182529</v>
      </c>
      <c r="Y89" s="58">
        <f t="shared" ca="1" si="62"/>
        <v>-42.864367620537635</v>
      </c>
      <c r="Z89" s="58">
        <f t="shared" ca="1" si="62"/>
        <v>-57.792812942930794</v>
      </c>
      <c r="AA89" s="58">
        <f t="shared" ca="1" si="62"/>
        <v>-74.560938889013784</v>
      </c>
      <c r="AB89" s="58">
        <f t="shared" ca="1" si="62"/>
        <v>-93.302675261355233</v>
      </c>
      <c r="AC89" s="58">
        <f t="shared" ca="1" si="62"/>
        <v>-114.22762475785981</v>
      </c>
    </row>
    <row r="90" spans="1:29" x14ac:dyDescent="0.2">
      <c r="A90" s="3" t="s">
        <v>817</v>
      </c>
      <c r="B90" s="4" t="str">
        <f>$B$46</f>
        <v>From Fiscal Forecasts</v>
      </c>
      <c r="F90" s="65">
        <f>'Fiscal Forecasts'!F$155</f>
        <v>9.0869999999999997</v>
      </c>
      <c r="G90" s="65">
        <f>'Fiscal Forecasts'!G$155</f>
        <v>10.276999999999999</v>
      </c>
      <c r="H90" s="65">
        <f>'Fiscal Forecasts'!H$155</f>
        <v>10.429</v>
      </c>
      <c r="I90" s="65">
        <f>'Fiscal Forecasts'!I$155</f>
        <v>10.867000000000001</v>
      </c>
      <c r="J90" s="65">
        <f>'Fiscal Forecasts'!J$155</f>
        <v>12.079000000000001</v>
      </c>
      <c r="K90" s="65">
        <f>'Fiscal Forecasts'!K$155</f>
        <v>13.324</v>
      </c>
      <c r="L90" s="65">
        <f>'Fiscal Forecasts'!L$155</f>
        <v>13.125999999999999</v>
      </c>
      <c r="M90" s="65">
        <f>'Fiscal Forecasts'!M$155</f>
        <v>13.753</v>
      </c>
      <c r="N90" s="65">
        <f>'Fiscal Forecasts'!N$155</f>
        <v>14.14</v>
      </c>
      <c r="O90" s="73">
        <f>'Fiscal Forecasts'!O$155</f>
        <v>14.613</v>
      </c>
      <c r="P90" s="73">
        <f>'Fiscal Forecasts'!P$155</f>
        <v>14.992000000000001</v>
      </c>
      <c r="Q90" s="73">
        <f>'Fiscal Forecasts'!Q$155</f>
        <v>15.285</v>
      </c>
      <c r="R90" s="73">
        <f>'Fiscal Forecasts'!R$155</f>
        <v>15.509</v>
      </c>
      <c r="S90" s="73">
        <f>'Fiscal Forecasts'!S$155</f>
        <v>15.554</v>
      </c>
      <c r="T90" s="26">
        <f t="shared" ref="T90:AC90" ca="1" si="63">T$383-T$380</f>
        <v>16.088990500614958</v>
      </c>
      <c r="U90" s="26">
        <f t="shared" ca="1" si="63"/>
        <v>16.623172161398621</v>
      </c>
      <c r="V90" s="26">
        <f t="shared" ca="1" si="63"/>
        <v>17.157418468444803</v>
      </c>
      <c r="W90" s="26">
        <f t="shared" ca="1" si="63"/>
        <v>17.69565817698798</v>
      </c>
      <c r="X90" s="26">
        <f t="shared" ca="1" si="63"/>
        <v>18.231339242959084</v>
      </c>
      <c r="Y90" s="26">
        <f t="shared" ca="1" si="63"/>
        <v>18.766712321730644</v>
      </c>
      <c r="Z90" s="26">
        <f t="shared" ca="1" si="63"/>
        <v>19.323847399551962</v>
      </c>
      <c r="AA90" s="26">
        <f t="shared" ca="1" si="63"/>
        <v>19.901985890583987</v>
      </c>
      <c r="AB90" s="26">
        <f t="shared" ca="1" si="63"/>
        <v>20.497764140768325</v>
      </c>
      <c r="AC90" s="26">
        <f t="shared" ca="1" si="63"/>
        <v>21.112067634424225</v>
      </c>
    </row>
    <row r="91" spans="1:29" x14ac:dyDescent="0.2">
      <c r="A91" s="3" t="s">
        <v>818</v>
      </c>
      <c r="B91" s="4" t="str">
        <f>$B$46</f>
        <v>From Fiscal Forecasts</v>
      </c>
      <c r="F91" s="65">
        <f>'Fiscal Forecasts'!F$156</f>
        <v>11.576000000000001</v>
      </c>
      <c r="G91" s="65">
        <f>'Fiscal Forecasts'!G$156</f>
        <v>12.933999999999999</v>
      </c>
      <c r="H91" s="65">
        <f>'Fiscal Forecasts'!H$156</f>
        <v>11.486000000000001</v>
      </c>
      <c r="I91" s="65">
        <f>'Fiscal Forecasts'!I$156</f>
        <v>14.189</v>
      </c>
      <c r="J91" s="65">
        <f>'Fiscal Forecasts'!J$156</f>
        <v>16.158999999999999</v>
      </c>
      <c r="K91" s="65">
        <f>'Fiscal Forecasts'!K$156</f>
        <v>17.196000000000002</v>
      </c>
      <c r="L91" s="65">
        <f>'Fiscal Forecasts'!L$156</f>
        <v>21.407</v>
      </c>
      <c r="M91" s="65">
        <f>'Fiscal Forecasts'!M$156</f>
        <v>25.757000000000001</v>
      </c>
      <c r="N91" s="65">
        <f>'Fiscal Forecasts'!N$156</f>
        <v>29.768999999999998</v>
      </c>
      <c r="O91" s="73">
        <f>'Fiscal Forecasts'!O$156</f>
        <v>31.577000000000002</v>
      </c>
      <c r="P91" s="73">
        <f>'Fiscal Forecasts'!P$156</f>
        <v>33.072000000000003</v>
      </c>
      <c r="Q91" s="73">
        <f>'Fiscal Forecasts'!Q$156</f>
        <v>35.143000000000001</v>
      </c>
      <c r="R91" s="73">
        <f>'Fiscal Forecasts'!R$156</f>
        <v>37.36</v>
      </c>
      <c r="S91" s="73">
        <f>'Fiscal Forecasts'!S$156</f>
        <v>39.734999999999999</v>
      </c>
      <c r="T91" s="26">
        <f t="shared" ref="T91:AC91" ca="1" si="64">T$370-T$348</f>
        <v>42.141695373200136</v>
      </c>
      <c r="U91" s="26">
        <f t="shared" ca="1" si="64"/>
        <v>44.607026602129096</v>
      </c>
      <c r="V91" s="26">
        <f t="shared" ca="1" si="64"/>
        <v>50.128065300019287</v>
      </c>
      <c r="W91" s="26">
        <f t="shared" ca="1" si="64"/>
        <v>55.789863845461817</v>
      </c>
      <c r="X91" s="26">
        <f t="shared" ca="1" si="64"/>
        <v>61.582020934540402</v>
      </c>
      <c r="Y91" s="26">
        <f t="shared" ca="1" si="64"/>
        <v>67.458048077691203</v>
      </c>
      <c r="Z91" s="26">
        <f t="shared" ca="1" si="64"/>
        <v>73.375992744742362</v>
      </c>
      <c r="AA91" s="26">
        <f t="shared" ca="1" si="64"/>
        <v>79.327917426652505</v>
      </c>
      <c r="AB91" s="26">
        <f t="shared" ca="1" si="64"/>
        <v>85.312714574481703</v>
      </c>
      <c r="AC91" s="26">
        <f t="shared" ca="1" si="64"/>
        <v>91.370938086138665</v>
      </c>
    </row>
    <row r="92" spans="1:29" x14ac:dyDescent="0.2">
      <c r="A92" s="31" t="s">
        <v>827</v>
      </c>
      <c r="F92" s="56">
        <f>SUM(F$89:F$91)</f>
        <v>13.196000000000002</v>
      </c>
      <c r="G92" s="56">
        <f t="shared" ref="G92:AC92" si="65">SUM(G$89:G$91)</f>
        <v>10.257999999999996</v>
      </c>
      <c r="H92" s="56">
        <f t="shared" si="65"/>
        <v>17.119</v>
      </c>
      <c r="I92" s="56">
        <f t="shared" si="65"/>
        <v>26.737999999999996</v>
      </c>
      <c r="J92" s="56">
        <f t="shared" si="65"/>
        <v>40.128</v>
      </c>
      <c r="K92" s="56">
        <f t="shared" si="65"/>
        <v>50.671000000000006</v>
      </c>
      <c r="L92" s="56">
        <f t="shared" si="65"/>
        <v>55.834999999999994</v>
      </c>
      <c r="M92" s="56">
        <f t="shared" si="65"/>
        <v>59.931000000000012</v>
      </c>
      <c r="N92" s="56">
        <f t="shared" si="65"/>
        <v>60.631000000000007</v>
      </c>
      <c r="O92" s="57">
        <f t="shared" si="65"/>
        <v>65.89</v>
      </c>
      <c r="P92" s="57">
        <f t="shared" si="65"/>
        <v>70.69</v>
      </c>
      <c r="Q92" s="57">
        <f t="shared" si="65"/>
        <v>73.420999999999992</v>
      </c>
      <c r="R92" s="57">
        <f t="shared" si="65"/>
        <v>72.825000000000003</v>
      </c>
      <c r="S92" s="57">
        <f t="shared" si="65"/>
        <v>71.11</v>
      </c>
      <c r="T92" s="58">
        <f t="shared" ca="1" si="65"/>
        <v>67.743878365210165</v>
      </c>
      <c r="U92" s="58">
        <f t="shared" ca="1" si="65"/>
        <v>63.168595626544764</v>
      </c>
      <c r="V92" s="58">
        <f t="shared" ca="1" si="65"/>
        <v>60.160670836867169</v>
      </c>
      <c r="W92" s="58">
        <f t="shared" ca="1" si="65"/>
        <v>55.840430734474097</v>
      </c>
      <c r="X92" s="58">
        <f t="shared" ca="1" si="65"/>
        <v>50.294249319316961</v>
      </c>
      <c r="Y92" s="58">
        <f t="shared" ca="1" si="65"/>
        <v>43.360392778884211</v>
      </c>
      <c r="Z92" s="58">
        <f t="shared" ca="1" si="65"/>
        <v>34.907027201363533</v>
      </c>
      <c r="AA92" s="58">
        <f t="shared" ca="1" si="65"/>
        <v>24.668964428222708</v>
      </c>
      <c r="AB92" s="58">
        <f t="shared" ca="1" si="65"/>
        <v>12.507803453894795</v>
      </c>
      <c r="AC92" s="58">
        <f t="shared" ca="1" si="65"/>
        <v>-1.7446190372969284</v>
      </c>
    </row>
    <row r="93" spans="1:29" x14ac:dyDescent="0.2">
      <c r="A93" s="5" t="s">
        <v>880</v>
      </c>
      <c r="B93" s="4" t="str">
        <f>$B$74</f>
        <v>Historic &amp; forecast yrs</v>
      </c>
      <c r="F93" s="7" t="str">
        <f>IF(ROUND('Fiscal Forecasts'!F$157-F$92,3)=0,"OK","ERROR")</f>
        <v>OK</v>
      </c>
      <c r="G93" s="7" t="str">
        <f>IF(ROUND('Fiscal Forecasts'!G$157-G$92,3)=0,"OK","ERROR")</f>
        <v>OK</v>
      </c>
      <c r="H93" s="7" t="str">
        <f>IF(ROUND('Fiscal Forecasts'!H$157-H$92,3)=0,"OK","ERROR")</f>
        <v>OK</v>
      </c>
      <c r="I93" s="7" t="str">
        <f>IF(ROUND('Fiscal Forecasts'!I$157-I$92,3)=0,"OK","ERROR")</f>
        <v>OK</v>
      </c>
      <c r="J93" s="7" t="str">
        <f>IF(ROUND('Fiscal Forecasts'!J$157-J$92,3)=0,"OK","ERROR")</f>
        <v>OK</v>
      </c>
      <c r="K93" s="7" t="str">
        <f>IF(ROUND('Fiscal Forecasts'!K$157-K$92,3)=0,"OK","ERROR")</f>
        <v>OK</v>
      </c>
      <c r="L93" s="7" t="str">
        <f>IF(ROUND('Fiscal Forecasts'!L$157-L$92,3)=0,"OK","ERROR")</f>
        <v>OK</v>
      </c>
      <c r="M93" s="7" t="str">
        <f>IF(ROUND('Fiscal Forecasts'!M$157-M$92,3)=0,"OK","ERROR")</f>
        <v>OK</v>
      </c>
      <c r="N93" s="7" t="str">
        <f>IF(ROUND('Fiscal Forecasts'!N$157-N$92,3)=0,"OK","ERROR")</f>
        <v>OK</v>
      </c>
      <c r="O93" s="7" t="str">
        <f>IF(ROUND('Fiscal Forecasts'!O$157-O$92,3)=0,"OK","ERROR")</f>
        <v>OK</v>
      </c>
      <c r="P93" s="7" t="str">
        <f>IF(ROUND('Fiscal Forecasts'!P$157-P$92,3)=0,"OK","ERROR")</f>
        <v>OK</v>
      </c>
      <c r="Q93" s="7" t="str">
        <f>IF(ROUND('Fiscal Forecasts'!Q$157-Q$92,3)=0,"OK","ERROR")</f>
        <v>OK</v>
      </c>
      <c r="R93" s="7" t="str">
        <f>IF(ROUND('Fiscal Forecasts'!R$157-R$92,3)=0,"OK","ERROR")</f>
        <v>OK</v>
      </c>
      <c r="S93" s="7" t="str">
        <f>IF(ROUND('Fiscal Forecasts'!S$157-S$92,3)=0,"OK","ERROR")</f>
        <v>OK</v>
      </c>
    </row>
    <row r="94" spans="1:29" ht="15.75" x14ac:dyDescent="0.25">
      <c r="A94" s="1" t="s">
        <v>393</v>
      </c>
    </row>
    <row r="95" spans="1:29" x14ac:dyDescent="0.2">
      <c r="A95" s="3" t="s">
        <v>260</v>
      </c>
      <c r="B95" s="4" t="str">
        <f>$B$46</f>
        <v>From Fiscal Forecasts</v>
      </c>
      <c r="F95" s="65">
        <f>'Fiscal Forecasts'!F$69</f>
        <v>52.156999999999996</v>
      </c>
      <c r="G95" s="65">
        <f>'Fiscal Forecasts'!G$69</f>
        <v>55.167999999999999</v>
      </c>
      <c r="H95" s="65">
        <f>'Fiscal Forecasts'!H$69</f>
        <v>51.119</v>
      </c>
      <c r="I95" s="65">
        <f>'Fiscal Forecasts'!I$69</f>
        <v>50.103999999999999</v>
      </c>
      <c r="J95" s="65">
        <f>'Fiscal Forecasts'!J$69</f>
        <v>50.417999999999999</v>
      </c>
      <c r="K95" s="65">
        <f>'Fiscal Forecasts'!K$69</f>
        <v>53.582000000000001</v>
      </c>
      <c r="L95" s="65">
        <f>'Fiscal Forecasts'!L$69</f>
        <v>56.412999999999997</v>
      </c>
      <c r="M95" s="65">
        <f>'Fiscal Forecasts'!M$69</f>
        <v>59.853000000000002</v>
      </c>
      <c r="N95" s="65">
        <f>'Fiscal Forecasts'!N$69</f>
        <v>64.944999999999993</v>
      </c>
      <c r="O95" s="73">
        <f>'Fiscal Forecasts'!O$69</f>
        <v>66.504999999999995</v>
      </c>
      <c r="P95" s="73">
        <f>'Fiscal Forecasts'!P$69</f>
        <v>68.902000000000001</v>
      </c>
      <c r="Q95" s="73">
        <f>'Fiscal Forecasts'!Q$69</f>
        <v>73.12</v>
      </c>
      <c r="R95" s="73">
        <f>'Fiscal Forecasts'!R$69</f>
        <v>77.89</v>
      </c>
      <c r="S95" s="73">
        <f>'Fiscal Forecasts'!S$69</f>
        <v>81.855999999999995</v>
      </c>
      <c r="T95" s="26">
        <f t="shared" ref="T95:AC95" ca="1" si="66">T$456-T$363+T$141</f>
        <v>85.791997696212277</v>
      </c>
      <c r="U95" s="26">
        <f t="shared" ca="1" si="66"/>
        <v>89.75424073593237</v>
      </c>
      <c r="V95" s="26">
        <f t="shared" ca="1" si="66"/>
        <v>93.949518251235972</v>
      </c>
      <c r="W95" s="26">
        <f t="shared" ca="1" si="66"/>
        <v>98.272587120093363</v>
      </c>
      <c r="X95" s="26">
        <f t="shared" ca="1" si="66"/>
        <v>102.5906060379501</v>
      </c>
      <c r="Y95" s="26">
        <f t="shared" ca="1" si="66"/>
        <v>107.09467797436776</v>
      </c>
      <c r="Z95" s="26">
        <f t="shared" ca="1" si="66"/>
        <v>111.73064042253705</v>
      </c>
      <c r="AA95" s="26">
        <f t="shared" ca="1" si="66"/>
        <v>116.50175503379261</v>
      </c>
      <c r="AB95" s="26">
        <f t="shared" ca="1" si="66"/>
        <v>121.38959801699332</v>
      </c>
      <c r="AC95" s="26">
        <f t="shared" ca="1" si="66"/>
        <v>126.41964340573595</v>
      </c>
    </row>
    <row r="96" spans="1:29" x14ac:dyDescent="0.2">
      <c r="A96" s="3" t="s">
        <v>261</v>
      </c>
      <c r="B96" s="4" t="str">
        <f>$B$46</f>
        <v>From Fiscal Forecasts</v>
      </c>
      <c r="F96" s="65">
        <f>'Fiscal Forecasts'!F$70</f>
        <v>3.2240000000000002</v>
      </c>
      <c r="G96" s="65">
        <f>'Fiscal Forecasts'!G$70</f>
        <v>3.46</v>
      </c>
      <c r="H96" s="65">
        <f>'Fiscal Forecasts'!H$70</f>
        <v>3.7160000000000002</v>
      </c>
      <c r="I96" s="65">
        <f>'Fiscal Forecasts'!I$70</f>
        <v>4.2679999999999998</v>
      </c>
      <c r="J96" s="65">
        <f>'Fiscal Forecasts'!J$70</f>
        <v>4.6929999999999996</v>
      </c>
      <c r="K96" s="65">
        <f>'Fiscal Forecasts'!K$70</f>
        <v>4.8899999999999997</v>
      </c>
      <c r="L96" s="65">
        <f>'Fiscal Forecasts'!L$70</f>
        <v>4.806</v>
      </c>
      <c r="M96" s="65">
        <f>'Fiscal Forecasts'!M$70</f>
        <v>4.9740000000000002</v>
      </c>
      <c r="N96" s="65">
        <f>'Fiscal Forecasts'!N$70</f>
        <v>4.7309999999999999</v>
      </c>
      <c r="O96" s="73">
        <f>'Fiscal Forecasts'!O$70</f>
        <v>4.4530000000000003</v>
      </c>
      <c r="P96" s="73">
        <f>'Fiscal Forecasts'!P$70</f>
        <v>4.17</v>
      </c>
      <c r="Q96" s="73">
        <f>'Fiscal Forecasts'!Q$70</f>
        <v>4.343</v>
      </c>
      <c r="R96" s="73">
        <f>'Fiscal Forecasts'!R$70</f>
        <v>4.5220000000000002</v>
      </c>
      <c r="S96" s="73">
        <f>'Fiscal Forecasts'!S$70</f>
        <v>4.68</v>
      </c>
      <c r="T96" s="26">
        <f ca="1">IF(T$4=OFFSET(Choices!$B$10,0,$C$1),AVERAGE(Q$96/Q$153,R$96/R$153,S$96/S$153),S$96/S$153)*T$153</f>
        <v>4.88796144975794</v>
      </c>
      <c r="U96" s="26">
        <f ca="1">IF(U$4=OFFSET(Choices!$B$10,0,$C$1),AVERAGE(R$96/R$153,S$96/S$153,T$96/T$153),T$96/T$153)*U$153</f>
        <v>5.1063122156770326</v>
      </c>
      <c r="V96" s="26">
        <f ca="1">IF(V$4=OFFSET(Choices!$B$10,0,$C$1),AVERAGE(S$96/S$153,T$96/T$153,U$96/U$153),U$96/U$153)*V$153</f>
        <v>5.3412272419585163</v>
      </c>
      <c r="W96" s="26">
        <f ca="1">IF(W$4=OFFSET(Choices!$B$10,0,$C$1),AVERAGE(T$96/T$153,U$96/U$153,V$96/V$153),V$96/V$153)*W$153</f>
        <v>5.5752424726615537</v>
      </c>
      <c r="X96" s="26">
        <f ca="1">IF(X$4=OFFSET(Choices!$B$10,0,$C$1),AVERAGE(U$96/U$153,V$96/V$153,W$96/W$153),W$96/W$153)*X$153</f>
        <v>5.8212946231454854</v>
      </c>
      <c r="Y96" s="26">
        <f ca="1">IF(Y$4=OFFSET(Choices!$B$10,0,$C$1),AVERAGE(V$96/V$153,W$96/W$153,X$96/X$153),X$96/X$153)*Y$153</f>
        <v>6.0761229622822714</v>
      </c>
      <c r="Z96" s="26">
        <f ca="1">IF(Z$4=OFFSET(Choices!$B$10,0,$C$1),AVERAGE(W$96/W$153,X$96/X$153,Y$96/Y$153),Y$96/Y$153)*Z$153</f>
        <v>6.3456166688220215</v>
      </c>
      <c r="AA96" s="26">
        <f ca="1">IF(AA$4=OFFSET(Choices!$B$10,0,$C$1),AVERAGE(X$96/X$153,Y$96/Y$153,Z$96/Z$153),Z$96/Z$153)*AA$153</f>
        <v>6.6069843157494539</v>
      </c>
      <c r="AB96" s="26">
        <f ca="1">IF(AB$4=OFFSET(Choices!$B$10,0,$C$1),AVERAGE(Y$96/Y$153,Z$96/Z$153,AA$96/AA$153),AA$96/AA$153)*AB$153</f>
        <v>6.8867453146532451</v>
      </c>
      <c r="AC96" s="26">
        <f ca="1">IF(AC$4=OFFSET(Choices!$B$10,0,$C$1),AVERAGE(Z$96/Z$153,AA$96/AA$153,AB$96/AB$153),AB$96/AB$153)*AC$153</f>
        <v>7.1681653388905113</v>
      </c>
    </row>
    <row r="97" spans="1:29" x14ac:dyDescent="0.2">
      <c r="A97" s="3" t="s">
        <v>225</v>
      </c>
      <c r="B97" s="4" t="str">
        <f>$B$46</f>
        <v>From Fiscal Forecasts</v>
      </c>
      <c r="F97" s="65">
        <f>'Fiscal Forecasts'!F$71</f>
        <v>12.996</v>
      </c>
      <c r="G97" s="65">
        <f>'Fiscal Forecasts'!G$71</f>
        <v>14.635</v>
      </c>
      <c r="H97" s="65">
        <f>'Fiscal Forecasts'!H$71</f>
        <v>16.591999999999999</v>
      </c>
      <c r="I97" s="65">
        <f>'Fiscal Forecasts'!I$71</f>
        <v>14.411</v>
      </c>
      <c r="J97" s="65">
        <f>'Fiscal Forecasts'!J$71</f>
        <v>14.898999999999999</v>
      </c>
      <c r="K97" s="65">
        <f>'Fiscal Forecasts'!K$71</f>
        <v>16.812000000000001</v>
      </c>
      <c r="L97" s="65">
        <f>'Fiscal Forecasts'!L$71</f>
        <v>16.651</v>
      </c>
      <c r="M97" s="65">
        <f>'Fiscal Forecasts'!M$71</f>
        <v>16.608000000000001</v>
      </c>
      <c r="N97" s="65">
        <f>'Fiscal Forecasts'!N$71</f>
        <v>17.231999999999999</v>
      </c>
      <c r="O97" s="73">
        <f>'Fiscal Forecasts'!O$71</f>
        <v>17.219000000000001</v>
      </c>
      <c r="P97" s="73">
        <f>'Fiscal Forecasts'!P$71</f>
        <v>17.7</v>
      </c>
      <c r="Q97" s="73">
        <f>'Fiscal Forecasts'!Q$71</f>
        <v>18.395</v>
      </c>
      <c r="R97" s="73">
        <f>'Fiscal Forecasts'!R$71</f>
        <v>18.585999999999999</v>
      </c>
      <c r="S97" s="73">
        <f>'Fiscal Forecasts'!S$71</f>
        <v>18.940000000000001</v>
      </c>
      <c r="T97" s="26">
        <f ca="1">IF(T$4=OFFSET(Choices!$B$10,0,$C$1),AVERAGE((Q$97+Q$99-(Q$434-P$434))/SUM(Q$156,Q$169),(R$97+R$99-(R$434-Q$434))/SUM(R$156,R$169),(S$97+S$99-(S$434-R$434))/SUM(S$156,S$169)),(S$97+S$99-(S$434-R$434))/SUM(S$156,S$169))*SUM(T$156,T$169) +T$434-S$434 -T$99</f>
        <v>19.896348405941055</v>
      </c>
      <c r="U97" s="26">
        <f ca="1">IF(U$4=OFFSET(Choices!$B$10,0,$C$1),AVERAGE((R$97+R$99-(R$434-Q$434))/SUM(R$156,R$169),(S$97+S$99-(S$434-R$434))/SUM(S$156,S$169),(T$97+T$99-(T$434-S$434))/SUM(T$156,T$169)),(T$97+T$99-(T$434-S$434))/SUM(T$156,T$169))*SUM(U$156,U$169) +U$434-T$434 -U$99</f>
        <v>20.773421425426822</v>
      </c>
      <c r="V97" s="26">
        <f ca="1">IF(V$4=OFFSET(Choices!$B$10,0,$C$1),AVERAGE((S$97+S$99-(S$434-R$434))/SUM(S$156,S$169),(T$97+T$99-(T$434-S$434))/SUM(T$156,T$169),(U$97+U$99-(U$434-T$434))/SUM(U$156,U$169)),(U$97+U$99-(U$434-T$434))/SUM(U$156,U$169))*SUM(V$156,V$169) +V$434-U$434 -V$99</f>
        <v>21.702028574423817</v>
      </c>
      <c r="W97" s="26">
        <f ca="1">IF(W$4=OFFSET(Choices!$B$10,0,$C$1),AVERAGE((T$97+T$99-(T$434-S$434))/SUM(T$156,T$169),(U$97+U$99-(U$434-T$434))/SUM(U$156,U$169),(V$97+V$99-(V$434-U$434))/SUM(V$156,V$169)),(V$97+V$99-(V$434-U$434))/SUM(V$156,V$169))*SUM(W$156,W$169) +W$434-V$434 -W$99</f>
        <v>22.662473303435192</v>
      </c>
      <c r="X97" s="26">
        <f ca="1">IF(X$4=OFFSET(Choices!$B$10,0,$C$1),AVERAGE((U$97+U$99-(U$434-T$434))/SUM(U$156,U$169),(V$97+V$99-(V$434-U$434))/SUM(V$156,V$169),(W$97+W$99-(W$434-V$434))/SUM(W$156,W$169)),(W$97+W$99-(W$434-V$434))/SUM(W$156,W$169))*SUM(X$156,X$169) +X$434-W$434 -X$99</f>
        <v>23.662407524062726</v>
      </c>
      <c r="Y97" s="26">
        <f ca="1">IF(Y$4=OFFSET(Choices!$B$10,0,$C$1),AVERAGE((V$97+V$99-(V$434-U$434))/SUM(V$156,V$169),(W$97+W$99-(W$434-V$434))/SUM(W$156,W$169),(X$97+X$99-(X$434-W$434))/SUM(X$156,X$169)),(X$97+X$99-(X$434-W$434))/SUM(X$156,X$169))*SUM(Y$156,Y$169) +Y$434-X$434 -Y$99</f>
        <v>24.69297328228733</v>
      </c>
      <c r="Z97" s="26">
        <f ca="1">IF(Z$4=OFFSET(Choices!$B$10,0,$C$1),AVERAGE((W$97+W$99-(W$434-V$434))/SUM(W$156,W$169),(X$97+X$99-(X$434-W$434))/SUM(X$156,X$169),(Y$97+Y$99-(Y$434-X$434))/SUM(Y$156,Y$169)),(Y$97+Y$99-(Y$434-X$434))/SUM(Y$156,Y$169))*SUM(Z$156,Z$169) +Z$434-Y$434 -Z$99</f>
        <v>25.760137539549824</v>
      </c>
      <c r="AA97" s="26">
        <f ca="1">IF(AA$4=OFFSET(Choices!$B$10,0,$C$1),AVERAGE((X$97+X$99-(X$434-W$434))/SUM(X$156,X$169),(Y$97+Y$99-(Y$434-X$434))/SUM(Y$156,Y$169),(Z$97+Z$99-(Z$434-Y$434))/SUM(Z$156,Z$169)),(Z$97+Z$99-(Z$434-Y$434))/SUM(Z$156,Z$169))*SUM(AA$156,AA$169) +AA$434-Z$434 -AA$99</f>
        <v>26.858396584431535</v>
      </c>
      <c r="AB97" s="26">
        <f ca="1">IF(AB$4=OFFSET(Choices!$B$10,0,$C$1),AVERAGE((Y$97+Y$99-(Y$434-X$434))/SUM(Y$156,Y$169),(Z$97+Z$99-(Z$434-Y$434))/SUM(Z$156,Z$169),(AA$97+AA$99-(AA$434-Z$434))/SUM(AA$156,AA$169)),(AA$97+AA$99-(AA$434-Z$434))/SUM(AA$156,AA$169))*SUM(AB$156,AB$169) +AB$434-AA$434 -AB$99</f>
        <v>27.982920268786909</v>
      </c>
      <c r="AC97" s="26">
        <f ca="1">IF(AC$4=OFFSET(Choices!$B$10,0,$C$1),AVERAGE((Z$97+Z$99-(Z$434-Y$434))/SUM(Z$156,Z$169),(AA$97+AA$99-(AA$434-Z$434))/SUM(AA$156,AA$169),(AB$97+AB$99-(AB$434-AA$434))/SUM(AB$156,AB$169)),(AB$97+AB$99-(AB$434-AA$434))/SUM(AB$156,AB$169))*SUM(AC$156,AC$169) +AC$434-AB$434 -AC$99</f>
        <v>29.140774460255351</v>
      </c>
    </row>
    <row r="98" spans="1:29" x14ac:dyDescent="0.2">
      <c r="A98" s="3" t="s">
        <v>262</v>
      </c>
      <c r="B98" s="4" t="str">
        <f>$B$46</f>
        <v>From Fiscal Forecasts</v>
      </c>
      <c r="F98" s="65">
        <f>'Fiscal Forecasts'!F$72</f>
        <v>2.4910000000000001</v>
      </c>
      <c r="G98" s="65">
        <f>'Fiscal Forecasts'!G$72</f>
        <v>3.1110000000000002</v>
      </c>
      <c r="H98" s="65">
        <f>'Fiscal Forecasts'!H$72</f>
        <v>2.7919999999999998</v>
      </c>
      <c r="I98" s="65">
        <f>'Fiscal Forecasts'!I$72</f>
        <v>2.3780000000000001</v>
      </c>
      <c r="J98" s="65">
        <f>'Fiscal Forecasts'!J$72</f>
        <v>2.6819999999999999</v>
      </c>
      <c r="K98" s="65">
        <f>'Fiscal Forecasts'!K$72</f>
        <v>2.6030000000000002</v>
      </c>
      <c r="L98" s="65">
        <f>'Fiscal Forecasts'!L$72</f>
        <v>2.694</v>
      </c>
      <c r="M98" s="65">
        <f>'Fiscal Forecasts'!M$72</f>
        <v>2.9449999999999998</v>
      </c>
      <c r="N98" s="65">
        <f>'Fiscal Forecasts'!N$72</f>
        <v>3.3639999999999999</v>
      </c>
      <c r="O98" s="73">
        <f>'Fiscal Forecasts'!O$72</f>
        <v>3.5169999999999999</v>
      </c>
      <c r="P98" s="73">
        <f>'Fiscal Forecasts'!P$72</f>
        <v>3.6720000000000002</v>
      </c>
      <c r="Q98" s="73">
        <f>'Fiscal Forecasts'!Q$72</f>
        <v>4.0270000000000001</v>
      </c>
      <c r="R98" s="73">
        <f>'Fiscal Forecasts'!R$72</f>
        <v>4.3849999999999998</v>
      </c>
      <c r="S98" s="73">
        <f>'Fiscal Forecasts'!S$72</f>
        <v>4.3620000000000001</v>
      </c>
      <c r="T98" s="26">
        <f ca="1">IF(T$4=OFFSET(Choices!$B$10,0,$C$1),AVERAGE(Q$98/(Q$166-Q$392-(Q$348-P$348)),R$98/(R$166-R$392-(R$348-Q$348)),S$98/(S$166-S$392-(S$348-R$348))),S$98/(S$166-S$392-(S$348-R$348)))*(T$166-T$392-(T$348-S$348))</f>
        <v>4.320307599917931</v>
      </c>
      <c r="U98" s="26">
        <f ca="1">IF(U$4=OFFSET(Choices!$B$10,0,$C$1),AVERAGE(R$98/(R$166-R$392-(R$348-Q$348)),S$98/(S$166-S$392-(S$348-R$348)),T$98/(T$166-T$392-(T$348-S$348))),T$98/(T$166-T$392-(T$348-S$348)))*(U$166-U$392-(U$348-T$348))</f>
        <v>4.7520584256873821</v>
      </c>
      <c r="V98" s="26">
        <f ca="1">IF(V$4=OFFSET(Choices!$B$10,0,$C$1),AVERAGE(S$98/(S$166-S$392-(S$348-R$348)),T$98/(T$166-T$392-(T$348-S$348)),U$98/(U$166-U$392-(U$348-T$348))),U$98/(U$166-U$392-(U$348-T$348)))*(V$166-V$392-(V$348-U$348))</f>
        <v>4.9414921164071357</v>
      </c>
      <c r="W98" s="26">
        <f ca="1">IF(W$4=OFFSET(Choices!$B$10,0,$C$1),AVERAGE(T$98/(T$166-T$392-(T$348-S$348)),U$98/(U$166-U$392-(U$348-T$348)),V$98/(V$166-V$392-(V$348-U$348))),V$98/(V$166-V$392-(V$348-U$348)))*(W$166-W$392-(W$348-V$348))</f>
        <v>5.2456861814232694</v>
      </c>
      <c r="X98" s="26">
        <f ca="1">IF(X$4=OFFSET(Choices!$B$10,0,$C$1),AVERAGE(U$98/(U$166-U$392-(U$348-T$348)),V$98/(V$166-V$392-(V$348-U$348)),W$98/(W$166-W$392-(W$348-V$348))),W$98/(W$166-W$392-(W$348-V$348)))*(X$166-X$392-(X$348-W$348))</f>
        <v>5.5579722185265235</v>
      </c>
      <c r="Y98" s="26">
        <f ca="1">IF(Y$4=OFFSET(Choices!$B$10,0,$C$1),AVERAGE(V$98/(V$166-V$392-(V$348-U$348)),W$98/(W$166-W$392-(W$348-V$348)),X$98/(X$166-X$392-(X$348-W$348))),X$98/(X$166-X$392-(X$348-W$348)))*(Y$166-Y$392-(Y$348-X$348))</f>
        <v>5.8814975293109217</v>
      </c>
      <c r="Z98" s="26">
        <f ca="1">IF(Z$4=OFFSET(Choices!$B$10,0,$C$1),AVERAGE(W$98/(W$166-W$392-(W$348-V$348)),X$98/(X$166-X$392-(X$348-W$348)),Y$98/(Y$166-Y$392-(Y$348-X$348))),Y$98/(Y$166-Y$392-(Y$348-X$348)))*(Z$166-Z$392-(Z$348-Y$348))</f>
        <v>6.2164159102245442</v>
      </c>
      <c r="AA98" s="26">
        <f ca="1">IF(AA$4=OFFSET(Choices!$B$10,0,$C$1),AVERAGE(X$98/(X$166-X$392-(X$348-W$348)),Y$98/(Y$166-Y$392-(Y$348-X$348)),Z$98/(Z$166-Z$392-(Z$348-Y$348))),Z$98/(Z$166-Z$392-(Z$348-Y$348)))*(AA$166-AA$392-(AA$348-Z$348))</f>
        <v>6.5581609843316011</v>
      </c>
      <c r="AB98" s="26">
        <f ca="1">IF(AB$4=OFFSET(Choices!$B$10,0,$C$1),AVERAGE(Y$98/(Y$166-Y$392-(Y$348-X$348)),Z$98/(Z$166-Z$392-(Z$348-Y$348)),AA$98/(AA$166-AA$392-(AA$348-Z$348))),AA$98/(AA$166-AA$392-(AA$348-Z$348)))*(AB$166-AB$392-(AB$348-AA$348))</f>
        <v>6.9068984401418279</v>
      </c>
      <c r="AC98" s="26">
        <f ca="1">IF(AC$4=OFFSET(Choices!$B$10,0,$C$1),AVERAGE(Z$98/(Z$166-Z$392-(Z$348-Y$348)),AA$98/(AA$166-AA$392-(AA$348-Z$348)),AB$98/(AB$166-AB$392-(AB$348-AA$348))),AB$98/(AB$166-AB$392-(AB$348-AA$348)))*(AC$166-AC$392-(AC$348-AB$348))</f>
        <v>7.2604709544343295</v>
      </c>
    </row>
    <row r="99" spans="1:29" x14ac:dyDescent="0.2">
      <c r="A99" s="3" t="s">
        <v>263</v>
      </c>
      <c r="B99" s="4" t="str">
        <f>$B$46</f>
        <v>From Fiscal Forecasts</v>
      </c>
      <c r="F99" s="65">
        <f>'Fiscal Forecasts'!F$73</f>
        <v>2.222</v>
      </c>
      <c r="G99" s="65">
        <f>'Fiscal Forecasts'!G$73</f>
        <v>2.2109999999999999</v>
      </c>
      <c r="H99" s="65">
        <f>'Fiscal Forecasts'!H$73</f>
        <v>2.2040000000000002</v>
      </c>
      <c r="I99" s="65">
        <f>'Fiscal Forecasts'!I$73</f>
        <v>2.9740000000000002</v>
      </c>
      <c r="J99" s="65">
        <f>'Fiscal Forecasts'!J$73</f>
        <v>2.99</v>
      </c>
      <c r="K99" s="65">
        <f>'Fiscal Forecasts'!K$73</f>
        <v>4.3949999999999996</v>
      </c>
      <c r="L99" s="65">
        <f>'Fiscal Forecasts'!L$73</f>
        <v>5.9329999999999998</v>
      </c>
      <c r="M99" s="65">
        <f>'Fiscal Forecasts'!M$73</f>
        <v>5.7370000000000001</v>
      </c>
      <c r="N99" s="65">
        <f>'Fiscal Forecasts'!N$73</f>
        <v>3.823</v>
      </c>
      <c r="O99" s="73">
        <f>'Fiscal Forecasts'!O$73</f>
        <v>4.0010000000000003</v>
      </c>
      <c r="P99" s="73">
        <f>'Fiscal Forecasts'!P$73</f>
        <v>3.7829999999999999</v>
      </c>
      <c r="Q99" s="73">
        <f>'Fiscal Forecasts'!Q$73</f>
        <v>3.6240000000000001</v>
      </c>
      <c r="R99" s="73">
        <f>'Fiscal Forecasts'!R$73</f>
        <v>3.5529999999999999</v>
      </c>
      <c r="S99" s="73">
        <f>'Fiscal Forecasts'!S$73</f>
        <v>3.5950000000000002</v>
      </c>
      <c r="T99" s="26">
        <f ca="1">IF(T$4=OFFSET(Choices!$B$10,0,$C$1),AVERAGE(Q$99/Q$169,R$99/R$169,S$99/S$169),S$99/S$169)*T$169</f>
        <v>3.7947310891650616</v>
      </c>
      <c r="U99" s="26">
        <f ca="1">IF(U$4=OFFSET(Choices!$B$10,0,$C$1),AVERAGE(R$99/R$169,S$99/S$169,T$99/T$169),T$99/T$169)*U$169</f>
        <v>3.9629537616304411</v>
      </c>
      <c r="V99" s="26">
        <f ca="1">IF(V$4=OFFSET(Choices!$B$10,0,$C$1),AVERAGE(S$99/S$169,T$99/T$169,U$99/U$169),U$99/U$169)*V$169</f>
        <v>4.1408524127396449</v>
      </c>
      <c r="W99" s="26">
        <f ca="1">IF(W$4=OFFSET(Choices!$B$10,0,$C$1),AVERAGE(T$99/T$169,U$99/U$169,V$99/V$169),V$99/V$169)*W$169</f>
        <v>4.3253639861059003</v>
      </c>
      <c r="X99" s="26">
        <f ca="1">IF(X$4=OFFSET(Choices!$B$10,0,$C$1),AVERAGE(U$99/U$169,V$99/V$169,W$99/W$169),W$99/W$169)*X$169</f>
        <v>4.5174851860378418</v>
      </c>
      <c r="Y99" s="26">
        <f ca="1">IF(Y$4=OFFSET(Choices!$B$10,0,$C$1),AVERAGE(V$99/V$169,W$99/W$169,X$99/X$169),X$99/X$169)*Y$169</f>
        <v>4.7158179480266833</v>
      </c>
      <c r="Z99" s="26">
        <f ca="1">IF(Z$4=OFFSET(Choices!$B$10,0,$C$1),AVERAGE(W$99/W$169,X$99/X$169,Y$99/Y$169),Y$99/Y$169)*Z$169</f>
        <v>4.9199583902313559</v>
      </c>
      <c r="AA99" s="26">
        <f ca="1">IF(AA$4=OFFSET(Choices!$B$10,0,$C$1),AVERAGE(X$99/X$169,Y$99/Y$169,Z$99/Z$169),Z$99/Z$169)*AA$169</f>
        <v>5.1300501365386424</v>
      </c>
      <c r="AB99" s="26">
        <f ca="1">IF(AB$4=OFFSET(Choices!$B$10,0,$C$1),AVERAGE(Y$99/Y$169,Z$99/Z$169,AA$99/AA$169),AA$99/AA$169)*AB$169</f>
        <v>5.3452819118546016</v>
      </c>
      <c r="AC99" s="26">
        <f ca="1">IF(AC$4=OFFSET(Choices!$B$10,0,$C$1),AVERAGE(Z$99/Z$169,AA$99/AA$169,AB$99/AB$169),AB$99/AB$169)*AC$169</f>
        <v>5.5667754423669091</v>
      </c>
    </row>
    <row r="100" spans="1:29" x14ac:dyDescent="0.2">
      <c r="A100" s="31" t="s">
        <v>264</v>
      </c>
      <c r="F100" s="56">
        <f>SUM(F$95:F$99)</f>
        <v>73.089999999999989</v>
      </c>
      <c r="G100" s="56">
        <f t="shared" ref="G100:AC100" si="67">SUM(G$95:G$99)</f>
        <v>78.585000000000008</v>
      </c>
      <c r="H100" s="56">
        <f t="shared" si="67"/>
        <v>76.422999999999988</v>
      </c>
      <c r="I100" s="56">
        <f t="shared" si="67"/>
        <v>74.135000000000005</v>
      </c>
      <c r="J100" s="56">
        <f t="shared" si="67"/>
        <v>75.681999999999988</v>
      </c>
      <c r="K100" s="56">
        <f t="shared" si="67"/>
        <v>82.281999999999996</v>
      </c>
      <c r="L100" s="56">
        <f t="shared" si="67"/>
        <v>86.496999999999986</v>
      </c>
      <c r="M100" s="56">
        <f t="shared" si="67"/>
        <v>90.11699999999999</v>
      </c>
      <c r="N100" s="56">
        <f t="shared" si="67"/>
        <v>94.094999999999985</v>
      </c>
      <c r="O100" s="57">
        <f t="shared" si="67"/>
        <v>95.694999999999993</v>
      </c>
      <c r="P100" s="57">
        <f t="shared" si="67"/>
        <v>98.227000000000004</v>
      </c>
      <c r="Q100" s="57">
        <f t="shared" si="67"/>
        <v>103.509</v>
      </c>
      <c r="R100" s="57">
        <f t="shared" si="67"/>
        <v>108.93600000000001</v>
      </c>
      <c r="S100" s="57">
        <f t="shared" si="67"/>
        <v>113.43299999999999</v>
      </c>
      <c r="T100" s="58">
        <f t="shared" ca="1" si="67"/>
        <v>118.69134624099425</v>
      </c>
      <c r="U100" s="58">
        <f t="shared" ca="1" si="67"/>
        <v>124.34898656435405</v>
      </c>
      <c r="V100" s="58">
        <f t="shared" ca="1" si="67"/>
        <v>130.07511859676509</v>
      </c>
      <c r="W100" s="58">
        <f t="shared" ca="1" si="67"/>
        <v>136.08135306371929</v>
      </c>
      <c r="X100" s="58">
        <f t="shared" ca="1" si="67"/>
        <v>142.14976558972268</v>
      </c>
      <c r="Y100" s="58">
        <f t="shared" ca="1" si="67"/>
        <v>148.46108969627497</v>
      </c>
      <c r="Z100" s="58">
        <f t="shared" ca="1" si="67"/>
        <v>154.97276893136481</v>
      </c>
      <c r="AA100" s="58">
        <f t="shared" ca="1" si="67"/>
        <v>161.65534705484384</v>
      </c>
      <c r="AB100" s="58">
        <f t="shared" ca="1" si="67"/>
        <v>168.51144395242989</v>
      </c>
      <c r="AC100" s="58">
        <f t="shared" ca="1" si="67"/>
        <v>175.55582960168309</v>
      </c>
    </row>
    <row r="101" spans="1:29" x14ac:dyDescent="0.2">
      <c r="A101" s="3" t="s">
        <v>229</v>
      </c>
      <c r="B101" s="4" t="str">
        <f>$B$46</f>
        <v>From Fiscal Forecasts</v>
      </c>
      <c r="F101" s="65">
        <f>'Fiscal Forecasts'!F$75</f>
        <v>16.344000000000001</v>
      </c>
      <c r="G101" s="65">
        <f>'Fiscal Forecasts'!G$75</f>
        <v>18.026</v>
      </c>
      <c r="H101" s="65">
        <f>'Fiscal Forecasts'!H$75</f>
        <v>19.672999999999998</v>
      </c>
      <c r="I101" s="65">
        <f>'Fiscal Forecasts'!I$75</f>
        <v>21.335000000000001</v>
      </c>
      <c r="J101" s="65">
        <f>'Fiscal Forecasts'!J$75</f>
        <v>22.172000000000001</v>
      </c>
      <c r="K101" s="65">
        <f>'Fiscal Forecasts'!K$75</f>
        <v>22.84</v>
      </c>
      <c r="L101" s="65">
        <f>'Fiscal Forecasts'!L$75</f>
        <v>22.78</v>
      </c>
      <c r="M101" s="65">
        <f>'Fiscal Forecasts'!M$75</f>
        <v>23.446999999999999</v>
      </c>
      <c r="N101" s="65">
        <f>'Fiscal Forecasts'!N$75</f>
        <v>23.896000000000001</v>
      </c>
      <c r="O101" s="73">
        <f>'Fiscal Forecasts'!O$75</f>
        <v>24.489000000000001</v>
      </c>
      <c r="P101" s="73">
        <f>'Fiscal Forecasts'!P$75</f>
        <v>25.538</v>
      </c>
      <c r="Q101" s="73">
        <f>'Fiscal Forecasts'!Q$75</f>
        <v>26.420999999999999</v>
      </c>
      <c r="R101" s="73">
        <f>'Fiscal Forecasts'!R$75</f>
        <v>27.186</v>
      </c>
      <c r="S101" s="73">
        <f>'Fiscal Forecasts'!S$75</f>
        <v>28.65</v>
      </c>
      <c r="T101" s="26">
        <f t="shared" ref="T101:AC101" ca="1" si="68">T$187</f>
        <v>29.578119587091443</v>
      </c>
      <c r="U101" s="26">
        <f t="shared" ca="1" si="68"/>
        <v>30.950889287950449</v>
      </c>
      <c r="V101" s="26">
        <f t="shared" ca="1" si="68"/>
        <v>32.54653928453704</v>
      </c>
      <c r="W101" s="26">
        <f t="shared" ca="1" si="68"/>
        <v>34.254118644900565</v>
      </c>
      <c r="X101" s="26">
        <f t="shared" ca="1" si="68"/>
        <v>36.049640414916446</v>
      </c>
      <c r="Y101" s="26">
        <f t="shared" ca="1" si="68"/>
        <v>37.960719618396332</v>
      </c>
      <c r="Z101" s="26">
        <f t="shared" ca="1" si="68"/>
        <v>39.975302563065583</v>
      </c>
      <c r="AA101" s="26">
        <f t="shared" ca="1" si="68"/>
        <v>42.057600488981244</v>
      </c>
      <c r="AB101" s="26">
        <f t="shared" ca="1" si="68"/>
        <v>44.185218162340163</v>
      </c>
      <c r="AC101" s="26">
        <f t="shared" ca="1" si="68"/>
        <v>46.326193973471874</v>
      </c>
    </row>
    <row r="102" spans="1:29" x14ac:dyDescent="0.2">
      <c r="A102" s="3" t="s">
        <v>265</v>
      </c>
      <c r="B102" s="4" t="str">
        <f>$B$46</f>
        <v>From Fiscal Forecasts</v>
      </c>
      <c r="F102" s="65">
        <f>'Fiscal Forecasts'!F$76</f>
        <v>41.844999999999999</v>
      </c>
      <c r="G102" s="65">
        <f>'Fiscal Forecasts'!G$76</f>
        <v>45.972000000000001</v>
      </c>
      <c r="H102" s="65">
        <f>'Fiscal Forecasts'!H$76</f>
        <v>50.390999999999998</v>
      </c>
      <c r="I102" s="65">
        <f>'Fiscal Forecasts'!I$76</f>
        <v>50.767000000000003</v>
      </c>
      <c r="J102" s="65">
        <f>'Fiscal Forecasts'!J$76</f>
        <v>55.152000000000001</v>
      </c>
      <c r="K102" s="65">
        <f>'Fiscal Forecasts'!K$76</f>
        <v>59.106999999999999</v>
      </c>
      <c r="L102" s="65">
        <f>'Fiscal Forecasts'!L$76</f>
        <v>58.45</v>
      </c>
      <c r="M102" s="65">
        <f>'Fiscal Forecasts'!M$76</f>
        <v>59.890999999999998</v>
      </c>
      <c r="N102" s="65">
        <f>'Fiscal Forecasts'!N$76</f>
        <v>60.009</v>
      </c>
      <c r="O102" s="73">
        <f>'Fiscal Forecasts'!O$76</f>
        <v>62.893000000000001</v>
      </c>
      <c r="P102" s="73">
        <f>'Fiscal Forecasts'!P$76</f>
        <v>61.631999999999998</v>
      </c>
      <c r="Q102" s="73">
        <f>'Fiscal Forecasts'!Q$76</f>
        <v>61.89</v>
      </c>
      <c r="R102" s="73">
        <f>'Fiscal Forecasts'!R$76</f>
        <v>61.046999999999997</v>
      </c>
      <c r="S102" s="73">
        <f>'Fiscal Forecasts'!S$76</f>
        <v>61.649000000000001</v>
      </c>
      <c r="T102" s="26">
        <f t="shared" ref="T102:AC102" ca="1" si="69">SUM(T$206,T$220-(T$153-T$96),T$236)-T$267+SUM(T$390,T$393)+SUM(T$398-S$398,T$401-S$401)-SUM(T$431-T$428-(S$431-S$428),T$441-S$441+T$335,T$446-S$446+T$334,T$453-S$453)</f>
        <v>61.34413291257119</v>
      </c>
      <c r="U102" s="26">
        <f t="shared" ca="1" si="69"/>
        <v>62.489954900160427</v>
      </c>
      <c r="V102" s="26">
        <f t="shared" ca="1" si="69"/>
        <v>63.561952134418966</v>
      </c>
      <c r="W102" s="26">
        <f t="shared" ca="1" si="69"/>
        <v>64.79292355580678</v>
      </c>
      <c r="X102" s="26">
        <f t="shared" ca="1" si="69"/>
        <v>66.013221312624893</v>
      </c>
      <c r="Y102" s="26">
        <f t="shared" ca="1" si="69"/>
        <v>67.373028329284494</v>
      </c>
      <c r="Z102" s="26">
        <f t="shared" ca="1" si="69"/>
        <v>68.626460170689796</v>
      </c>
      <c r="AA102" s="26">
        <f t="shared" ca="1" si="69"/>
        <v>69.933214527936869</v>
      </c>
      <c r="AB102" s="26">
        <f t="shared" ca="1" si="69"/>
        <v>71.272267270046868</v>
      </c>
      <c r="AC102" s="26">
        <f t="shared" ca="1" si="69"/>
        <v>72.621347449458611</v>
      </c>
    </row>
    <row r="103" spans="1:29" x14ac:dyDescent="0.2">
      <c r="A103" s="3" t="s">
        <v>266</v>
      </c>
      <c r="B103" s="4" t="str">
        <f>$B$46</f>
        <v>From Fiscal Forecasts</v>
      </c>
      <c r="F103" s="65">
        <f>'Fiscal Forecasts'!F$77</f>
        <v>2.4409999999999998</v>
      </c>
      <c r="G103" s="65">
        <f>'Fiscal Forecasts'!G$77</f>
        <v>2.82</v>
      </c>
      <c r="H103" s="65">
        <f>'Fiscal Forecasts'!H$77</f>
        <v>2.88</v>
      </c>
      <c r="I103" s="65">
        <f>'Fiscal Forecasts'!I$77</f>
        <v>2.42</v>
      </c>
      <c r="J103" s="65">
        <f>'Fiscal Forecasts'!J$77</f>
        <v>3.1070000000000002</v>
      </c>
      <c r="K103" s="65">
        <f>'Fiscal Forecasts'!K$77</f>
        <v>3.9540000000000002</v>
      </c>
      <c r="L103" s="65">
        <f>'Fiscal Forecasts'!L$77</f>
        <v>4.3689999999999998</v>
      </c>
      <c r="M103" s="65">
        <f>'Fiscal Forecasts'!M$77</f>
        <v>4.3120000000000003</v>
      </c>
      <c r="N103" s="65">
        <f>'Fiscal Forecasts'!N$77</f>
        <v>4.5979999999999999</v>
      </c>
      <c r="O103" s="73">
        <f>'Fiscal Forecasts'!O$77</f>
        <v>4.3849999999999998</v>
      </c>
      <c r="P103" s="73">
        <f>'Fiscal Forecasts'!P$77</f>
        <v>4.6669999999999998</v>
      </c>
      <c r="Q103" s="73">
        <f>'Fiscal Forecasts'!Q$77</f>
        <v>4.923</v>
      </c>
      <c r="R103" s="73">
        <f>'Fiscal Forecasts'!R$77</f>
        <v>5.0940000000000003</v>
      </c>
      <c r="S103" s="73">
        <f>'Fiscal Forecasts'!S$77</f>
        <v>4.6239999999999997</v>
      </c>
      <c r="T103" s="26">
        <f ca="1">IF(T$4=OFFSET(Choices!$B$10,0,$C$1),AVERAGE(Q$103/Q$227,R$103/R$227,S$103/S$227),S$103/S$227)*T$227</f>
        <v>5.1943822030522897</v>
      </c>
      <c r="U103" s="26">
        <f ca="1">IF(U$4=OFFSET(Choices!$B$10,0,$C$1),AVERAGE(R$103/R$227,S$103/S$227,T$103/T$227),T$103/T$227)*U$227</f>
        <v>5.2354297968899424</v>
      </c>
      <c r="V103" s="26">
        <f ca="1">IF(V$4=OFFSET(Choices!$B$10,0,$C$1),AVERAGE(S$103/S$227,T$103/T$227,U$103/U$227),U$103/U$227)*V$227</f>
        <v>5.2779478402344564</v>
      </c>
      <c r="W103" s="26">
        <f ca="1">IF(W$4=OFFSET(Choices!$B$10,0,$C$1),AVERAGE(T$103/T$227,U$103/U$227,V$103/V$227),V$103/V$227)*W$227</f>
        <v>5.3308254775545487</v>
      </c>
      <c r="X103" s="26">
        <f ca="1">IF(X$4=OFFSET(Choices!$B$10,0,$C$1),AVERAGE(U$103/U$227,V$103/V$227,W$103/W$227),W$103/W$227)*X$227</f>
        <v>5.3267460322727125</v>
      </c>
      <c r="Y103" s="26">
        <f ca="1">IF(Y$4=OFFSET(Choices!$B$10,0,$C$1),AVERAGE(V$103/V$227,W$103/W$227,X$103/X$227),X$103/X$227)*Y$227</f>
        <v>5.2603260263944156</v>
      </c>
      <c r="Z103" s="26">
        <f ca="1">IF(Z$4=OFFSET(Choices!$B$10,0,$C$1),AVERAGE(W$103/W$227,X$103/X$227,Y$103/Y$227),Y$103/Y$227)*Z$227</f>
        <v>5.1191199557657816</v>
      </c>
      <c r="AA103" s="26">
        <f ca="1">IF(AA$4=OFFSET(Choices!$B$10,0,$C$1),AVERAGE(X$103/X$227,Y$103/Y$227,Z$103/Z$227),Z$103/Z$227)*AA$227</f>
        <v>4.7652805342422839</v>
      </c>
      <c r="AB103" s="26">
        <f ca="1">IF(AB$4=OFFSET(Choices!$B$10,0,$C$1),AVERAGE(Y$103/Y$227,Z$103/Z$227,AA$103/AA$227),AA$103/AA$227)*AB$227</f>
        <v>4.3214640570854224</v>
      </c>
      <c r="AC103" s="26">
        <f ca="1">IF(AC$4=OFFSET(Choices!$B$10,0,$C$1),AVERAGE(Z$103/Z$227,AA$103/AA$227,AB$103/AB$227),AB$103/AB$227)*AC$227</f>
        <v>3.7828998945117389</v>
      </c>
    </row>
    <row r="104" spans="1:29" x14ac:dyDescent="0.2">
      <c r="A104" s="31" t="s">
        <v>706</v>
      </c>
      <c r="F104" s="56">
        <f t="shared" ref="F104:AC104" si="70">SUM(F$101:F$103,F$241,F$243)</f>
        <v>60.63</v>
      </c>
      <c r="G104" s="56">
        <f t="shared" si="70"/>
        <v>66.817999999999998</v>
      </c>
      <c r="H104" s="56">
        <f t="shared" si="70"/>
        <v>72.943999999999988</v>
      </c>
      <c r="I104" s="56">
        <f t="shared" si="70"/>
        <v>74.522000000000006</v>
      </c>
      <c r="J104" s="56">
        <f t="shared" si="70"/>
        <v>80.430999999999997</v>
      </c>
      <c r="K104" s="56">
        <f t="shared" si="70"/>
        <v>85.900999999999996</v>
      </c>
      <c r="L104" s="56">
        <f t="shared" si="70"/>
        <v>85.599000000000004</v>
      </c>
      <c r="M104" s="56">
        <f t="shared" si="70"/>
        <v>87.649999999999991</v>
      </c>
      <c r="N104" s="56">
        <f t="shared" si="70"/>
        <v>88.503</v>
      </c>
      <c r="O104" s="57">
        <f t="shared" si="70"/>
        <v>91.013000000000005</v>
      </c>
      <c r="P104" s="57">
        <f t="shared" si="70"/>
        <v>92.360000000000014</v>
      </c>
      <c r="Q104" s="57">
        <f t="shared" si="70"/>
        <v>96.440000000000012</v>
      </c>
      <c r="R104" s="57">
        <f t="shared" si="70"/>
        <v>98.24199999999999</v>
      </c>
      <c r="S104" s="57">
        <f t="shared" si="70"/>
        <v>101.35900000000001</v>
      </c>
      <c r="T104" s="58">
        <f t="shared" ca="1" si="70"/>
        <v>104.10363470271491</v>
      </c>
      <c r="U104" s="58">
        <f t="shared" ca="1" si="70"/>
        <v>108.24529398500081</v>
      </c>
      <c r="V104" s="58">
        <f t="shared" ca="1" si="70"/>
        <v>112.56911965919046</v>
      </c>
      <c r="W104" s="58">
        <f t="shared" ca="1" si="70"/>
        <v>117.20648168626191</v>
      </c>
      <c r="X104" s="58">
        <f t="shared" ca="1" si="70"/>
        <v>121.89707404797404</v>
      </c>
      <c r="Y104" s="58">
        <f t="shared" ca="1" si="70"/>
        <v>126.81396958799843</v>
      </c>
      <c r="Z104" s="58">
        <f t="shared" ca="1" si="70"/>
        <v>131.68745621572282</v>
      </c>
      <c r="AA104" s="58">
        <f t="shared" ca="1" si="70"/>
        <v>136.50428054788608</v>
      </c>
      <c r="AB104" s="58">
        <f t="shared" ca="1" si="70"/>
        <v>141.34437818613264</v>
      </c>
      <c r="AC104" s="58">
        <f t="shared" ca="1" si="70"/>
        <v>146.14945858803563</v>
      </c>
    </row>
    <row r="105" spans="1:29" x14ac:dyDescent="0.2">
      <c r="A105" s="31" t="s">
        <v>707</v>
      </c>
      <c r="F105" s="74">
        <f>F$100-F$104</f>
        <v>12.459999999999987</v>
      </c>
      <c r="G105" s="74">
        <f t="shared" ref="G105:AC105" si="71">G$100-G$104</f>
        <v>11.76700000000001</v>
      </c>
      <c r="H105" s="74">
        <f t="shared" si="71"/>
        <v>3.4789999999999992</v>
      </c>
      <c r="I105" s="74">
        <f t="shared" si="71"/>
        <v>-0.38700000000000045</v>
      </c>
      <c r="J105" s="74">
        <f t="shared" si="71"/>
        <v>-4.7490000000000094</v>
      </c>
      <c r="K105" s="74">
        <f t="shared" si="71"/>
        <v>-3.6189999999999998</v>
      </c>
      <c r="L105" s="74">
        <f t="shared" si="71"/>
        <v>0.89799999999998192</v>
      </c>
      <c r="M105" s="74">
        <f t="shared" si="71"/>
        <v>2.4669999999999987</v>
      </c>
      <c r="N105" s="74">
        <f t="shared" si="71"/>
        <v>5.5919999999999845</v>
      </c>
      <c r="O105" s="76">
        <f t="shared" si="71"/>
        <v>4.6819999999999879</v>
      </c>
      <c r="P105" s="76">
        <f t="shared" si="71"/>
        <v>5.8669999999999902</v>
      </c>
      <c r="Q105" s="76">
        <f t="shared" si="71"/>
        <v>7.0689999999999884</v>
      </c>
      <c r="R105" s="76">
        <f t="shared" si="71"/>
        <v>10.694000000000017</v>
      </c>
      <c r="S105" s="76">
        <f t="shared" si="71"/>
        <v>12.073999999999984</v>
      </c>
      <c r="T105" s="75">
        <f t="shared" ca="1" si="71"/>
        <v>14.587711538279336</v>
      </c>
      <c r="U105" s="75">
        <f t="shared" ca="1" si="71"/>
        <v>16.103692579353236</v>
      </c>
      <c r="V105" s="75">
        <f t="shared" ca="1" si="71"/>
        <v>17.505998937574631</v>
      </c>
      <c r="W105" s="75">
        <f t="shared" ca="1" si="71"/>
        <v>18.874871377457382</v>
      </c>
      <c r="X105" s="75">
        <f t="shared" ca="1" si="71"/>
        <v>20.252691541748632</v>
      </c>
      <c r="Y105" s="75">
        <f t="shared" ca="1" si="71"/>
        <v>21.647120108276539</v>
      </c>
      <c r="Z105" s="75">
        <f t="shared" ca="1" si="71"/>
        <v>23.285312715641993</v>
      </c>
      <c r="AA105" s="75">
        <f t="shared" ca="1" si="71"/>
        <v>25.151066506957761</v>
      </c>
      <c r="AB105" s="75">
        <f t="shared" ca="1" si="71"/>
        <v>27.167065766297242</v>
      </c>
      <c r="AC105" s="75">
        <f t="shared" ca="1" si="71"/>
        <v>29.406371013647458</v>
      </c>
    </row>
    <row r="106" spans="1:29" x14ac:dyDescent="0.2">
      <c r="A106" s="3" t="s">
        <v>708</v>
      </c>
      <c r="B106" s="4" t="str">
        <f>$B$46</f>
        <v>From Fiscal Forecasts</v>
      </c>
      <c r="F106" s="65">
        <f>'Fiscal Forecasts'!F$80</f>
        <v>-5.2139999999999995</v>
      </c>
      <c r="G106" s="65">
        <f>'Fiscal Forecasts'!G$80</f>
        <v>-4.9220000000000006</v>
      </c>
      <c r="H106" s="65">
        <f>'Fiscal Forecasts'!H$80</f>
        <v>-5.4370000000000003</v>
      </c>
      <c r="I106" s="65">
        <f>'Fiscal Forecasts'!I$80</f>
        <v>-5.8649999999999993</v>
      </c>
      <c r="J106" s="65">
        <f>'Fiscal Forecasts'!J$80</f>
        <v>-5.9960000000000004</v>
      </c>
      <c r="K106" s="65">
        <f>'Fiscal Forecasts'!K$80</f>
        <v>-5.766</v>
      </c>
      <c r="L106" s="65">
        <f>'Fiscal Forecasts'!L$80</f>
        <v>-5.1689999999999996</v>
      </c>
      <c r="M106" s="65">
        <f>'Fiscal Forecasts'!M$80</f>
        <v>-5.5030000000000001</v>
      </c>
      <c r="N106" s="65">
        <f>'Fiscal Forecasts'!N$80</f>
        <v>-6.1769999999999996</v>
      </c>
      <c r="O106" s="73">
        <f>'Fiscal Forecasts'!O$80</f>
        <v>-7.6189999999999998</v>
      </c>
      <c r="P106" s="73">
        <f>'Fiscal Forecasts'!P$80</f>
        <v>-7.4610000000000003</v>
      </c>
      <c r="Q106" s="73">
        <f>'Fiscal Forecasts'!Q$80</f>
        <v>-6.6180000000000003</v>
      </c>
      <c r="R106" s="73">
        <f>'Fiscal Forecasts'!R$80</f>
        <v>-6.5190000000000001</v>
      </c>
      <c r="S106" s="73">
        <f>'Fiscal Forecasts'!S$80</f>
        <v>-6.09</v>
      </c>
      <c r="T106" s="26">
        <f t="shared" ref="T106:AC106" ca="1" si="72">-SUM(T$407-S$407,T$413,-T$49)</f>
        <v>-5.7891116822647994</v>
      </c>
      <c r="U106" s="26">
        <f t="shared" ca="1" si="72"/>
        <v>-6.0298803400992593</v>
      </c>
      <c r="V106" s="26">
        <f t="shared" ca="1" si="72"/>
        <v>-6.4087460116945403</v>
      </c>
      <c r="W106" s="26">
        <f t="shared" ca="1" si="72"/>
        <v>-6.6690432511705824</v>
      </c>
      <c r="X106" s="26">
        <f t="shared" ca="1" si="72"/>
        <v>-6.9368759775416757</v>
      </c>
      <c r="Y106" s="26">
        <f t="shared" ca="1" si="72"/>
        <v>-7.2106047343196069</v>
      </c>
      <c r="Z106" s="26">
        <f t="shared" ca="1" si="72"/>
        <v>-7.4899156537126945</v>
      </c>
      <c r="AA106" s="26">
        <f t="shared" ca="1" si="72"/>
        <v>-7.7764428471356304</v>
      </c>
      <c r="AB106" s="26">
        <f t="shared" ca="1" si="72"/>
        <v>-8.06956979541952</v>
      </c>
      <c r="AC106" s="26">
        <f t="shared" ca="1" si="72"/>
        <v>-8.3724487452321465</v>
      </c>
    </row>
    <row r="107" spans="1:29" x14ac:dyDescent="0.2">
      <c r="A107" s="3" t="s">
        <v>709</v>
      </c>
      <c r="B107" s="4" t="str">
        <f>$B$46</f>
        <v>From Fiscal Forecasts</v>
      </c>
      <c r="F107" s="65">
        <f>'Fiscal Forecasts'!F$81</f>
        <v>-8.5410000000000004</v>
      </c>
      <c r="G107" s="65">
        <f>'Fiscal Forecasts'!G$81</f>
        <v>-6.0799999999999983</v>
      </c>
      <c r="H107" s="65">
        <f>'Fiscal Forecasts'!H$81</f>
        <v>-1.6480000000000032</v>
      </c>
      <c r="I107" s="65">
        <f>'Fiscal Forecasts'!I$81</f>
        <v>2.0919999999999987</v>
      </c>
      <c r="J107" s="65">
        <f>'Fiscal Forecasts'!J$81</f>
        <v>-6.7759999999999962</v>
      </c>
      <c r="K107" s="65">
        <f>'Fiscal Forecasts'!K$81</f>
        <v>0.42399999999999949</v>
      </c>
      <c r="L107" s="65">
        <f>'Fiscal Forecasts'!L$81</f>
        <v>6.3419999999999996</v>
      </c>
      <c r="M107" s="65">
        <f>'Fiscal Forecasts'!M$81</f>
        <v>-5.7249999999999996</v>
      </c>
      <c r="N107" s="65">
        <f>'Fiscal Forecasts'!N$81</f>
        <v>-4.9119999999999999</v>
      </c>
      <c r="O107" s="73">
        <f>'Fiscal Forecasts'!O$81</f>
        <v>2.8420000000000001</v>
      </c>
      <c r="P107" s="73">
        <f>'Fiscal Forecasts'!P$81</f>
        <v>-5.5579999999999998</v>
      </c>
      <c r="Q107" s="73">
        <f>'Fiscal Forecasts'!Q$81</f>
        <v>4.7130000000000001</v>
      </c>
      <c r="R107" s="73">
        <f>'Fiscal Forecasts'!R$81</f>
        <v>1.6619999999999999</v>
      </c>
      <c r="S107" s="73">
        <f>'Fiscal Forecasts'!S$81</f>
        <v>-3.665</v>
      </c>
      <c r="T107" s="26">
        <f t="shared" ref="T107:AC107" ca="1" si="73">-(T$359-S$359-T$331-(T$166-T$392-(T$348-S$348)-T$98))</f>
        <v>-2.2939763507779438</v>
      </c>
      <c r="U107" s="26">
        <f t="shared" ca="1" si="73"/>
        <v>-1.7680070621998962</v>
      </c>
      <c r="V107" s="26">
        <f t="shared" ca="1" si="73"/>
        <v>-4.1934339672459853</v>
      </c>
      <c r="W107" s="26">
        <f t="shared" ca="1" si="73"/>
        <v>-4.0754858360492969</v>
      </c>
      <c r="X107" s="26">
        <f t="shared" ca="1" si="73"/>
        <v>-3.9699766946073085</v>
      </c>
      <c r="Y107" s="26">
        <f t="shared" ca="1" si="73"/>
        <v>-3.8471717123794438</v>
      </c>
      <c r="Z107" s="26">
        <f t="shared" ca="1" si="73"/>
        <v>-3.628704229094688</v>
      </c>
      <c r="AA107" s="26">
        <f t="shared" ca="1" si="73"/>
        <v>-3.4144583622424758</v>
      </c>
      <c r="AB107" s="26">
        <f t="shared" ca="1" si="73"/>
        <v>-3.1994466898438896</v>
      </c>
      <c r="AC107" s="26">
        <f t="shared" ca="1" si="73"/>
        <v>-3.0186044112211432</v>
      </c>
    </row>
    <row r="108" spans="1:29" x14ac:dyDescent="0.2">
      <c r="A108" s="3" t="s">
        <v>710</v>
      </c>
      <c r="B108" s="4" t="str">
        <f>$B$46</f>
        <v>From Fiscal Forecasts</v>
      </c>
      <c r="F108" s="65">
        <f>'Fiscal Forecasts'!F$82</f>
        <v>-0.23200000000000001</v>
      </c>
      <c r="G108" s="65">
        <f>'Fiscal Forecasts'!G$82</f>
        <v>-0.31999999999999995</v>
      </c>
      <c r="H108" s="65">
        <f>'Fiscal Forecasts'!H$82</f>
        <v>-0.433</v>
      </c>
      <c r="I108" s="65">
        <f>'Fiscal Forecasts'!I$82</f>
        <v>-0.377</v>
      </c>
      <c r="J108" s="65">
        <f>'Fiscal Forecasts'!J$82</f>
        <v>-0.6</v>
      </c>
      <c r="K108" s="65">
        <f>'Fiscal Forecasts'!K$82</f>
        <v>-0.56699999999999995</v>
      </c>
      <c r="L108" s="65">
        <f>'Fiscal Forecasts'!L$82</f>
        <v>-0.58099999999999996</v>
      </c>
      <c r="M108" s="65">
        <f>'Fiscal Forecasts'!M$82</f>
        <v>-0.65800000000000003</v>
      </c>
      <c r="N108" s="65">
        <f>'Fiscal Forecasts'!N$82</f>
        <v>-0.63100000000000001</v>
      </c>
      <c r="O108" s="73">
        <f>'Fiscal Forecasts'!O$82</f>
        <v>-0.79300000000000004</v>
      </c>
      <c r="P108" s="73">
        <f>'Fiscal Forecasts'!P$82</f>
        <v>-0.68</v>
      </c>
      <c r="Q108" s="73">
        <f>'Fiscal Forecasts'!Q$82</f>
        <v>-0.498</v>
      </c>
      <c r="R108" s="73">
        <f>'Fiscal Forecasts'!R$82</f>
        <v>-0.48499999999999999</v>
      </c>
      <c r="S108" s="73">
        <f>'Fiscal Forecasts'!S$82</f>
        <v>-0.46300000000000002</v>
      </c>
      <c r="T108" s="26">
        <f t="shared" ref="T108:AC108" ca="1" si="74">-(T$422-S$422+T$213-T$413-T$336)</f>
        <v>-0.92763645995728794</v>
      </c>
      <c r="U108" s="26">
        <f t="shared" ca="1" si="74"/>
        <v>-0.94035430427940447</v>
      </c>
      <c r="V108" s="26">
        <f t="shared" ca="1" si="74"/>
        <v>-0.95470329025302014</v>
      </c>
      <c r="W108" s="26">
        <f t="shared" ca="1" si="74"/>
        <v>-0.96468225281137432</v>
      </c>
      <c r="X108" s="26">
        <f t="shared" ca="1" si="74"/>
        <v>-0.9741646671162929</v>
      </c>
      <c r="Y108" s="26">
        <f t="shared" ca="1" si="74"/>
        <v>-0.9805905922593432</v>
      </c>
      <c r="Z108" s="26">
        <f t="shared" ca="1" si="74"/>
        <v>-1.0020680513575417</v>
      </c>
      <c r="AA108" s="26">
        <f t="shared" ca="1" si="74"/>
        <v>-1.024002897313828</v>
      </c>
      <c r="AB108" s="26">
        <f t="shared" ca="1" si="74"/>
        <v>-1.0454336969586828</v>
      </c>
      <c r="AC108" s="26">
        <f t="shared" ca="1" si="74"/>
        <v>-1.0683256655413338</v>
      </c>
    </row>
    <row r="109" spans="1:29" x14ac:dyDescent="0.2">
      <c r="A109" s="3" t="s">
        <v>711</v>
      </c>
      <c r="B109" s="4" t="str">
        <f>$B$46</f>
        <v>From Fiscal Forecasts</v>
      </c>
      <c r="F109" s="65">
        <f>'Fiscal Forecasts'!F$83</f>
        <v>-0.74399999999999977</v>
      </c>
      <c r="G109" s="65">
        <f>'Fiscal Forecasts'!G$83</f>
        <v>-2.6459999999999999</v>
      </c>
      <c r="H109" s="65">
        <f>'Fiscal Forecasts'!H$83</f>
        <v>-1.129</v>
      </c>
      <c r="I109" s="65">
        <f>'Fiscal Forecasts'!I$83</f>
        <v>-0.31000000000000005</v>
      </c>
      <c r="J109" s="65">
        <f>'Fiscal Forecasts'!J$83</f>
        <v>-1.0030000000000001</v>
      </c>
      <c r="K109" s="65">
        <f>'Fiscal Forecasts'!K$83</f>
        <v>-1.284</v>
      </c>
      <c r="L109" s="65">
        <f>'Fiscal Forecasts'!L$83</f>
        <v>-1.405</v>
      </c>
      <c r="M109" s="65">
        <f>'Fiscal Forecasts'!M$83</f>
        <v>-1.5289999999999999</v>
      </c>
      <c r="N109" s="65">
        <f>'Fiscal Forecasts'!N$83</f>
        <v>-1.6859999999999999</v>
      </c>
      <c r="O109" s="73">
        <f>'Fiscal Forecasts'!O$83</f>
        <v>-1.9870000000000001</v>
      </c>
      <c r="P109" s="73">
        <f>'Fiscal Forecasts'!P$83</f>
        <v>-1.5269999999999999</v>
      </c>
      <c r="Q109" s="73">
        <f>'Fiscal Forecasts'!Q$83</f>
        <v>-1.6080000000000001</v>
      </c>
      <c r="R109" s="73">
        <f>'Fiscal Forecasts'!R$83</f>
        <v>-1.5740000000000001</v>
      </c>
      <c r="S109" s="73">
        <f>'Fiscal Forecasts'!S$83</f>
        <v>-1.571</v>
      </c>
      <c r="T109" s="26">
        <f t="shared" ref="T109:AC109" ca="1" si="75">-(T$386-S$386-SUM(T$390,T$392,T$393))</f>
        <v>-1.5025315315048102</v>
      </c>
      <c r="U109" s="26">
        <f t="shared" ca="1" si="75"/>
        <v>-1.4402591029584813</v>
      </c>
      <c r="V109" s="26">
        <f t="shared" ca="1" si="75"/>
        <v>-1.5962094528848452</v>
      </c>
      <c r="W109" s="26">
        <f t="shared" ca="1" si="75"/>
        <v>-1.6355306247082337</v>
      </c>
      <c r="X109" s="26">
        <f t="shared" ca="1" si="75"/>
        <v>-1.6805016712003678</v>
      </c>
      <c r="Y109" s="26">
        <f t="shared" ca="1" si="75"/>
        <v>-1.7166605099854426</v>
      </c>
      <c r="Z109" s="26">
        <f t="shared" ca="1" si="75"/>
        <v>-1.7755472466182498</v>
      </c>
      <c r="AA109" s="26">
        <f t="shared" ca="1" si="75"/>
        <v>-1.8290522512722087</v>
      </c>
      <c r="AB109" s="26">
        <f t="shared" ca="1" si="75"/>
        <v>-1.8744334540969227</v>
      </c>
      <c r="AC109" s="26">
        <f t="shared" ca="1" si="75"/>
        <v>-1.9252848738504387</v>
      </c>
    </row>
    <row r="110" spans="1:29" x14ac:dyDescent="0.2">
      <c r="A110" s="3" t="s">
        <v>275</v>
      </c>
      <c r="B110" s="4" t="str">
        <f>$B$46</f>
        <v>From Fiscal Forecasts</v>
      </c>
      <c r="F110" s="65">
        <f>'Fiscal Forecasts'!F$84</f>
        <v>-0.29499999999999998</v>
      </c>
      <c r="G110" s="65">
        <f>'Fiscal Forecasts'!G$84</f>
        <v>-0.36299999999999999</v>
      </c>
      <c r="H110" s="65">
        <f>'Fiscal Forecasts'!H$84</f>
        <v>-1.089</v>
      </c>
      <c r="I110" s="65">
        <f>'Fiscal Forecasts'!I$84</f>
        <v>-0.19800000000000001</v>
      </c>
      <c r="J110" s="65">
        <f>'Fiscal Forecasts'!J$84</f>
        <v>0.17299999999999999</v>
      </c>
      <c r="K110" s="65">
        <f>'Fiscal Forecasts'!K$84</f>
        <v>-0.11499999999999999</v>
      </c>
      <c r="L110" s="65">
        <f>'Fiscal Forecasts'!L$84</f>
        <v>1.827</v>
      </c>
      <c r="M110" s="65">
        <f>'Fiscal Forecasts'!M$84</f>
        <v>2.2589999999999999</v>
      </c>
      <c r="N110" s="65">
        <f>'Fiscal Forecasts'!N$84</f>
        <v>0.73199999999999998</v>
      </c>
      <c r="O110" s="73">
        <f>'Fiscal Forecasts'!O$84</f>
        <v>-1.2999999999999999E-2</v>
      </c>
      <c r="P110" s="73">
        <f>'Fiscal Forecasts'!P$84</f>
        <v>7.4999999999999997E-2</v>
      </c>
      <c r="Q110" s="73">
        <f>'Fiscal Forecasts'!Q$84</f>
        <v>6.9000000000000006E-2</v>
      </c>
      <c r="R110" s="73">
        <f>'Fiscal Forecasts'!R$84</f>
        <v>-6.0000000000000001E-3</v>
      </c>
      <c r="S110" s="73">
        <f>'Fiscal Forecasts'!S$84</f>
        <v>3.2000000000000001E-2</v>
      </c>
      <c r="T110" s="26">
        <f t="shared" ref="T110:AC110" ca="1" si="76">-(T$416-S$416-T$341)</f>
        <v>0.14700392520940181</v>
      </c>
      <c r="U110" s="26">
        <f t="shared" ca="1" si="76"/>
        <v>0.15034129209566288</v>
      </c>
      <c r="V110" s="26">
        <f t="shared" ca="1" si="76"/>
        <v>0.17336751411796458</v>
      </c>
      <c r="W110" s="26">
        <f t="shared" ca="1" si="76"/>
        <v>0.16955877960500043</v>
      </c>
      <c r="X110" s="26">
        <f t="shared" ca="1" si="76"/>
        <v>0.17133801728691056</v>
      </c>
      <c r="Y110" s="26">
        <f t="shared" ca="1" si="76"/>
        <v>0.15980680627873844</v>
      </c>
      <c r="Z110" s="26">
        <f t="shared" ca="1" si="76"/>
        <v>0.14431945412711139</v>
      </c>
      <c r="AA110" s="26">
        <f t="shared" ca="1" si="76"/>
        <v>0.12817341346372202</v>
      </c>
      <c r="AB110" s="26">
        <f t="shared" ca="1" si="76"/>
        <v>0.10391448352756605</v>
      </c>
      <c r="AC110" s="26">
        <f t="shared" ca="1" si="76"/>
        <v>8.6791133006039023E-2</v>
      </c>
    </row>
    <row r="111" spans="1:29" x14ac:dyDescent="0.2">
      <c r="A111" s="31" t="s">
        <v>712</v>
      </c>
      <c r="F111" s="56">
        <f t="shared" ref="F111:AC111" si="77">SUM(F$106:F$110)-SUM(F$323-E$323,F$324-E$324)</f>
        <v>-15.025999999999998</v>
      </c>
      <c r="G111" s="56">
        <f t="shared" si="77"/>
        <v>-14.331</v>
      </c>
      <c r="H111" s="56">
        <f t="shared" si="77"/>
        <v>-9.7360000000000042</v>
      </c>
      <c r="I111" s="56">
        <f t="shared" si="77"/>
        <v>-4.6580000000000013</v>
      </c>
      <c r="J111" s="56">
        <f t="shared" si="77"/>
        <v>-14.201999999999996</v>
      </c>
      <c r="K111" s="56">
        <f t="shared" si="77"/>
        <v>-7.3080000000000007</v>
      </c>
      <c r="L111" s="56">
        <f t="shared" si="77"/>
        <v>1.014</v>
      </c>
      <c r="M111" s="56">
        <f t="shared" si="77"/>
        <v>-11.155999999999999</v>
      </c>
      <c r="N111" s="56">
        <f t="shared" si="77"/>
        <v>-12.673999999999999</v>
      </c>
      <c r="O111" s="57">
        <f t="shared" si="77"/>
        <v>-7.4659999999999993</v>
      </c>
      <c r="P111" s="57">
        <f t="shared" si="77"/>
        <v>-15.872</v>
      </c>
      <c r="Q111" s="57">
        <f t="shared" si="77"/>
        <v>-4.6830000000000007</v>
      </c>
      <c r="R111" s="57">
        <f t="shared" si="77"/>
        <v>-7.6070000000000011</v>
      </c>
      <c r="S111" s="57">
        <f t="shared" si="77"/>
        <v>-12.619999999999997</v>
      </c>
      <c r="T111" s="58">
        <f t="shared" ca="1" si="77"/>
        <v>-11.417652099295438</v>
      </c>
      <c r="U111" s="58">
        <f t="shared" ca="1" si="77"/>
        <v>-11.05966751744138</v>
      </c>
      <c r="V111" s="58">
        <f t="shared" ca="1" si="77"/>
        <v>-13.996303367960426</v>
      </c>
      <c r="W111" s="58">
        <f t="shared" ca="1" si="77"/>
        <v>-14.164892908334487</v>
      </c>
      <c r="X111" s="58">
        <f t="shared" ca="1" si="77"/>
        <v>-14.399684910842735</v>
      </c>
      <c r="Y111" s="58">
        <f t="shared" ca="1" si="77"/>
        <v>-14.62491473868238</v>
      </c>
      <c r="Z111" s="58">
        <f t="shared" ca="1" si="77"/>
        <v>-14.802203602593689</v>
      </c>
      <c r="AA111" s="58">
        <f t="shared" ca="1" si="77"/>
        <v>-14.987076577956799</v>
      </c>
      <c r="AB111" s="58">
        <f t="shared" ca="1" si="77"/>
        <v>-15.177688658916956</v>
      </c>
      <c r="AC111" s="58">
        <f t="shared" ca="1" si="77"/>
        <v>-15.412446459087038</v>
      </c>
    </row>
    <row r="112" spans="1:29" x14ac:dyDescent="0.2">
      <c r="A112" s="3" t="s">
        <v>277</v>
      </c>
      <c r="B112" s="4" t="str">
        <f>$B$46</f>
        <v>From Fiscal Forecasts</v>
      </c>
      <c r="F112" s="65">
        <f>'Fiscal Forecasts'!F$87</f>
        <v>8.1000000000000003E-2</v>
      </c>
      <c r="G112" s="65">
        <f>'Fiscal Forecasts'!G$87</f>
        <v>8.5999999999999993E-2</v>
      </c>
      <c r="H112" s="65">
        <f>'Fiscal Forecasts'!H$87</f>
        <v>0.47499999999999998</v>
      </c>
      <c r="I112" s="65">
        <f>'Fiscal Forecasts'!I$87</f>
        <v>1.4999999999999999E-2</v>
      </c>
      <c r="J112" s="65">
        <f>'Fiscal Forecasts'!J$87</f>
        <v>0.23400000000000001</v>
      </c>
      <c r="K112" s="65">
        <f>'Fiscal Forecasts'!K$87</f>
        <v>0.20300000000000029</v>
      </c>
      <c r="L112" s="65">
        <f>'Fiscal Forecasts'!L$87</f>
        <v>0.23400000000000001</v>
      </c>
      <c r="M112" s="65">
        <f>'Fiscal Forecasts'!M$87</f>
        <v>0.27400000000000002</v>
      </c>
      <c r="N112" s="65">
        <f>'Fiscal Forecasts'!N$87</f>
        <v>0.372</v>
      </c>
      <c r="O112" s="73">
        <f>'Fiscal Forecasts'!O$87</f>
        <v>0.214</v>
      </c>
      <c r="P112" s="73">
        <f>'Fiscal Forecasts'!P$87</f>
        <v>0.16300000000000001</v>
      </c>
      <c r="Q112" s="73">
        <f>'Fiscal Forecasts'!Q$87</f>
        <v>0.17</v>
      </c>
      <c r="R112" s="73">
        <f>'Fiscal Forecasts'!R$87</f>
        <v>0.17399999999999999</v>
      </c>
      <c r="S112" s="73">
        <f>'Fiscal Forecasts'!S$87</f>
        <v>0.18</v>
      </c>
      <c r="T112" s="26">
        <f t="shared" ref="T112:AC112" ca="1" si="78">T$424-S$424</f>
        <v>0.27744583944558165</v>
      </c>
      <c r="U112" s="26">
        <f t="shared" ca="1" si="78"/>
        <v>0.28923254103590601</v>
      </c>
      <c r="V112" s="26">
        <f t="shared" ca="1" si="78"/>
        <v>0.3058688710213211</v>
      </c>
      <c r="W112" s="26">
        <f t="shared" ca="1" si="78"/>
        <v>0.31723875523519585</v>
      </c>
      <c r="X112" s="26">
        <f t="shared" ca="1" si="78"/>
        <v>0.33032231642033061</v>
      </c>
      <c r="Y112" s="26">
        <f t="shared" ca="1" si="78"/>
        <v>0.34100212462447832</v>
      </c>
      <c r="Z112" s="26">
        <f t="shared" ca="1" si="78"/>
        <v>0.35098752125224131</v>
      </c>
      <c r="AA112" s="26">
        <f t="shared" ca="1" si="78"/>
        <v>0.36121985666131273</v>
      </c>
      <c r="AB112" s="26">
        <f t="shared" ca="1" si="78"/>
        <v>0.37005733159491605</v>
      </c>
      <c r="AC112" s="26">
        <f t="shared" ca="1" si="78"/>
        <v>0.38082343904192051</v>
      </c>
    </row>
    <row r="113" spans="1:29" x14ac:dyDescent="0.2">
      <c r="A113" s="3" t="s">
        <v>714</v>
      </c>
      <c r="B113" s="4" t="str">
        <f>$B$46</f>
        <v>From Fiscal Forecasts</v>
      </c>
      <c r="F113" s="65">
        <f>SUM('Fiscal Forecasts'!F$88:F$90)</f>
        <v>3.0509999999999997</v>
      </c>
      <c r="G113" s="65">
        <f>SUM('Fiscal Forecasts'!G$88:G$90)</f>
        <v>2.101</v>
      </c>
      <c r="H113" s="65">
        <f>SUM('Fiscal Forecasts'!H$88:H$90)</f>
        <v>8.277000000000001</v>
      </c>
      <c r="I113" s="65">
        <f>SUM('Fiscal Forecasts'!I$88:I$90)</f>
        <v>6.7019999999999991</v>
      </c>
      <c r="J113" s="65">
        <f>SUM('Fiscal Forecasts'!J$88:J$90)</f>
        <v>21.362000000000002</v>
      </c>
      <c r="K113" s="65">
        <f>SUM('Fiscal Forecasts'!K$88:K$90)</f>
        <v>11.484999999999999</v>
      </c>
      <c r="L113" s="65">
        <f>SUM('Fiscal Forecasts'!L$88:L$90)</f>
        <v>1.9159999999999999</v>
      </c>
      <c r="M113" s="65">
        <f>SUM('Fiscal Forecasts'!M$88:M$90)</f>
        <v>6.13</v>
      </c>
      <c r="N113" s="65">
        <f>SUM('Fiscal Forecasts'!N$88:N$90)</f>
        <v>6.3040000000000003</v>
      </c>
      <c r="O113" s="73">
        <f>SUM('Fiscal Forecasts'!O$88:O$90)</f>
        <v>4.75</v>
      </c>
      <c r="P113" s="73">
        <f>SUM('Fiscal Forecasts'!P$88:P$90)</f>
        <v>10.295999999999999</v>
      </c>
      <c r="Q113" s="73">
        <f>SUM('Fiscal Forecasts'!Q$88:Q$90)</f>
        <v>-1.472</v>
      </c>
      <c r="R113" s="73">
        <f>SUM('Fiscal Forecasts'!R$88:R$90)</f>
        <v>-1.6180000000000001</v>
      </c>
      <c r="S113" s="73">
        <f>SUM('Fiscal Forecasts'!S$88:S$90)</f>
        <v>2.129</v>
      </c>
      <c r="T113" s="26">
        <f t="shared" ref="T113:AC113" ca="1" si="79">T$346-S$346-SUM(T$105,T$111)-SUM(T$112,T$114)</f>
        <v>-2.4744243589432426</v>
      </c>
      <c r="U113" s="26">
        <f t="shared" ca="1" si="79"/>
        <v>-3.8795869813778268</v>
      </c>
      <c r="V113" s="26">
        <f t="shared" ca="1" si="79"/>
        <v>-1.972250674436788</v>
      </c>
      <c r="W113" s="26">
        <f t="shared" ca="1" si="79"/>
        <v>-3.1386678977027715</v>
      </c>
      <c r="X113" s="26">
        <f t="shared" ca="1" si="79"/>
        <v>-4.2465086914000816</v>
      </c>
      <c r="Y113" s="26">
        <f t="shared" ca="1" si="79"/>
        <v>-5.3871356949784364</v>
      </c>
      <c r="Z113" s="26">
        <f t="shared" ca="1" si="79"/>
        <v>-6.8230912846917118</v>
      </c>
      <c r="AA113" s="26">
        <f t="shared" ca="1" si="79"/>
        <v>-8.4786609143569205</v>
      </c>
      <c r="AB113" s="26">
        <f t="shared" ca="1" si="79"/>
        <v>-10.27909982531714</v>
      </c>
      <c r="AC113" s="26">
        <f t="shared" ca="1" si="79"/>
        <v>-12.251209336444607</v>
      </c>
    </row>
    <row r="114" spans="1:29" x14ac:dyDescent="0.2">
      <c r="A114" s="3" t="s">
        <v>715</v>
      </c>
      <c r="B114" s="4" t="str">
        <f>$B$46</f>
        <v>From Fiscal Forecasts</v>
      </c>
      <c r="F114" s="65">
        <f>'Fiscal Forecasts'!F$91</f>
        <v>-3.6999999999999998E-2</v>
      </c>
      <c r="G114" s="65">
        <f>'Fiscal Forecasts'!G$91</f>
        <v>-2.5000000000000001E-2</v>
      </c>
      <c r="H114" s="65">
        <f>'Fiscal Forecasts'!H$91</f>
        <v>-1.7000000000000001E-2</v>
      </c>
      <c r="I114" s="65">
        <f>'Fiscal Forecasts'!I$91</f>
        <v>-1.2999999999999999E-2</v>
      </c>
      <c r="J114" s="65">
        <f>'Fiscal Forecasts'!J$91</f>
        <v>-1.2999999999999999E-2</v>
      </c>
      <c r="K114" s="65">
        <f>'Fiscal Forecasts'!K$91</f>
        <v>-7.0000000000000001E-3</v>
      </c>
      <c r="L114" s="65">
        <f>'Fiscal Forecasts'!L$91</f>
        <v>-0.02</v>
      </c>
      <c r="M114" s="65">
        <f>'Fiscal Forecasts'!M$91</f>
        <v>-0.16600000000000001</v>
      </c>
      <c r="N114" s="65">
        <f>'Fiscal Forecasts'!N$91</f>
        <v>-0.47799999999999998</v>
      </c>
      <c r="O114" s="73">
        <f>'Fiscal Forecasts'!O$91</f>
        <v>-0.49399999999999999</v>
      </c>
      <c r="P114" s="73">
        <f>'Fiscal Forecasts'!P$91</f>
        <v>-0.50700000000000001</v>
      </c>
      <c r="Q114" s="73">
        <f>'Fiscal Forecasts'!Q$91</f>
        <v>-0.51500000000000001</v>
      </c>
      <c r="R114" s="73">
        <f>'Fiscal Forecasts'!R$91</f>
        <v>-0.53300000000000003</v>
      </c>
      <c r="S114" s="73">
        <f>'Fiscal Forecasts'!S$91</f>
        <v>-0.55100000000000005</v>
      </c>
      <c r="T114" s="26">
        <f t="shared" ref="T114:AC114" ca="1" si="80">T$46</f>
        <v>-0.60660231948488652</v>
      </c>
      <c r="U114" s="26">
        <f t="shared" ca="1" si="80"/>
        <v>-0.61239215164725447</v>
      </c>
      <c r="V114" s="26">
        <f t="shared" ca="1" si="80"/>
        <v>-0.61919367043388529</v>
      </c>
      <c r="W114" s="26">
        <f t="shared" ca="1" si="80"/>
        <v>-0.62701619343634352</v>
      </c>
      <c r="X114" s="26">
        <f t="shared" ca="1" si="80"/>
        <v>-0.63587549496857221</v>
      </c>
      <c r="Y114" s="26">
        <f t="shared" ca="1" si="80"/>
        <v>-0.64577727719032574</v>
      </c>
      <c r="Z114" s="26">
        <f t="shared" ca="1" si="80"/>
        <v>-0.65672429372616414</v>
      </c>
      <c r="AA114" s="26">
        <f t="shared" ca="1" si="80"/>
        <v>-0.66872018076421058</v>
      </c>
      <c r="AB114" s="26">
        <f t="shared" ca="1" si="80"/>
        <v>-0.68176292619013401</v>
      </c>
      <c r="AC114" s="26">
        <f t="shared" ca="1" si="80"/>
        <v>-0.6958582268486313</v>
      </c>
    </row>
    <row r="115" spans="1:29" x14ac:dyDescent="0.2">
      <c r="A115" s="31" t="s">
        <v>716</v>
      </c>
      <c r="F115" s="56">
        <f>SUM(F$112:F$114)</f>
        <v>3.0949999999999998</v>
      </c>
      <c r="G115" s="56">
        <f t="shared" ref="G115:AC115" si="81">SUM(G$112:G$114)</f>
        <v>2.1619999999999999</v>
      </c>
      <c r="H115" s="56">
        <f t="shared" si="81"/>
        <v>8.7350000000000012</v>
      </c>
      <c r="I115" s="56">
        <f t="shared" si="81"/>
        <v>6.7039999999999988</v>
      </c>
      <c r="J115" s="56">
        <f t="shared" si="81"/>
        <v>21.583000000000002</v>
      </c>
      <c r="K115" s="56">
        <f t="shared" si="81"/>
        <v>11.680999999999999</v>
      </c>
      <c r="L115" s="56">
        <f t="shared" si="81"/>
        <v>2.13</v>
      </c>
      <c r="M115" s="56">
        <f t="shared" si="81"/>
        <v>6.2379999999999995</v>
      </c>
      <c r="N115" s="56">
        <f t="shared" si="81"/>
        <v>6.1980000000000004</v>
      </c>
      <c r="O115" s="57">
        <f t="shared" si="81"/>
        <v>4.4700000000000006</v>
      </c>
      <c r="P115" s="57">
        <f t="shared" si="81"/>
        <v>9.952</v>
      </c>
      <c r="Q115" s="57">
        <f t="shared" si="81"/>
        <v>-1.8170000000000002</v>
      </c>
      <c r="R115" s="57">
        <f t="shared" si="81"/>
        <v>-1.9770000000000003</v>
      </c>
      <c r="S115" s="57">
        <f t="shared" si="81"/>
        <v>1.758</v>
      </c>
      <c r="T115" s="58">
        <f t="shared" ca="1" si="81"/>
        <v>-2.8035808389825476</v>
      </c>
      <c r="U115" s="58">
        <f t="shared" ca="1" si="81"/>
        <v>-4.2027465919891753</v>
      </c>
      <c r="V115" s="58">
        <f t="shared" ca="1" si="81"/>
        <v>-2.2855754738493523</v>
      </c>
      <c r="W115" s="58">
        <f t="shared" ca="1" si="81"/>
        <v>-3.4484453359039193</v>
      </c>
      <c r="X115" s="58">
        <f t="shared" ca="1" si="81"/>
        <v>-4.5520618699483233</v>
      </c>
      <c r="Y115" s="58">
        <f t="shared" ca="1" si="81"/>
        <v>-5.6919108475442837</v>
      </c>
      <c r="Z115" s="58">
        <f t="shared" ca="1" si="81"/>
        <v>-7.1288280571656344</v>
      </c>
      <c r="AA115" s="58">
        <f t="shared" ca="1" si="81"/>
        <v>-8.7861612384598189</v>
      </c>
      <c r="AB115" s="58">
        <f t="shared" ca="1" si="81"/>
        <v>-10.590805419912357</v>
      </c>
      <c r="AC115" s="58">
        <f t="shared" ca="1" si="81"/>
        <v>-12.566244124251318</v>
      </c>
    </row>
    <row r="116" spans="1:29" x14ac:dyDescent="0.2">
      <c r="A116" s="31" t="s">
        <v>283</v>
      </c>
      <c r="F116" s="74">
        <f>SUM(F$105,F$111,F$115)</f>
        <v>0.52899999999998837</v>
      </c>
      <c r="G116" s="74">
        <f>SUM(G$105,G$111,G$115)</f>
        <v>-0.40199999999998948</v>
      </c>
      <c r="H116" s="74">
        <f>SUM(H$105,H$111,H$115)</f>
        <v>2.4779999999999962</v>
      </c>
      <c r="I116" s="74">
        <f t="shared" ref="I116:AC116" si="82">SUM(I$105,I$111,I$115)</f>
        <v>1.6589999999999971</v>
      </c>
      <c r="J116" s="74">
        <f t="shared" si="82"/>
        <v>2.6319999999999943</v>
      </c>
      <c r="K116" s="74">
        <f t="shared" si="82"/>
        <v>0.75399999999999956</v>
      </c>
      <c r="L116" s="74">
        <f t="shared" si="82"/>
        <v>4.0419999999999821</v>
      </c>
      <c r="M116" s="74">
        <f t="shared" si="82"/>
        <v>-2.4510000000000005</v>
      </c>
      <c r="N116" s="74">
        <f t="shared" si="82"/>
        <v>-0.88400000000001455</v>
      </c>
      <c r="O116" s="76">
        <f t="shared" si="82"/>
        <v>1.6859999999999893</v>
      </c>
      <c r="P116" s="76">
        <f t="shared" si="82"/>
        <v>-5.3000000000009706E-2</v>
      </c>
      <c r="Q116" s="76">
        <f t="shared" si="82"/>
        <v>0.56899999999998752</v>
      </c>
      <c r="R116" s="76">
        <f t="shared" si="82"/>
        <v>1.1100000000000154</v>
      </c>
      <c r="S116" s="76">
        <f t="shared" si="82"/>
        <v>1.2119999999999864</v>
      </c>
      <c r="T116" s="75">
        <f t="shared" ca="1" si="82"/>
        <v>0.36647860000135069</v>
      </c>
      <c r="U116" s="75">
        <f t="shared" ca="1" si="82"/>
        <v>0.84127846992268118</v>
      </c>
      <c r="V116" s="75">
        <f t="shared" ca="1" si="82"/>
        <v>1.224120095764853</v>
      </c>
      <c r="W116" s="75">
        <f t="shared" ca="1" si="82"/>
        <v>1.2615331332189754</v>
      </c>
      <c r="X116" s="75">
        <f t="shared" ca="1" si="82"/>
        <v>1.3009447609575737</v>
      </c>
      <c r="Y116" s="75">
        <f t="shared" ca="1" si="82"/>
        <v>1.3302945220498756</v>
      </c>
      <c r="Z116" s="75">
        <f t="shared" ca="1" si="82"/>
        <v>1.3542810558826694</v>
      </c>
      <c r="AA116" s="75">
        <f t="shared" ca="1" si="82"/>
        <v>1.3778286905411434</v>
      </c>
      <c r="AB116" s="75">
        <f t="shared" ca="1" si="82"/>
        <v>1.3985716874679284</v>
      </c>
      <c r="AC116" s="75">
        <f t="shared" ca="1" si="82"/>
        <v>1.4276804303091026</v>
      </c>
    </row>
    <row r="117" spans="1:29" x14ac:dyDescent="0.2">
      <c r="A117" s="31" t="s">
        <v>717</v>
      </c>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row>
    <row r="118" spans="1:29" x14ac:dyDescent="0.2">
      <c r="A118" s="31" t="s">
        <v>718</v>
      </c>
      <c r="F118" s="74">
        <f>SUM(F$105,F$49,F$331,F$337)</f>
        <v>14.522999999999987</v>
      </c>
      <c r="G118" s="74">
        <f t="shared" ref="G118:AC118" si="83">SUM(G$105,G$49,G$331,G$337)</f>
        <v>8.1580000000000084</v>
      </c>
      <c r="H118" s="74">
        <f t="shared" si="83"/>
        <v>-3.3450000000000006</v>
      </c>
      <c r="I118" s="74">
        <f t="shared" si="83"/>
        <v>1.1919999999999991</v>
      </c>
      <c r="J118" s="74">
        <f t="shared" si="83"/>
        <v>4.999999999999033E-2</v>
      </c>
      <c r="K118" s="74">
        <f t="shared" si="83"/>
        <v>-9.5090000000000003</v>
      </c>
      <c r="L118" s="74">
        <f t="shared" si="83"/>
        <v>11.841999999999981</v>
      </c>
      <c r="M118" s="74">
        <f t="shared" si="83"/>
        <v>7.8479999999999981</v>
      </c>
      <c r="N118" s="74">
        <f t="shared" si="83"/>
        <v>9.9209999999999852</v>
      </c>
      <c r="O118" s="76">
        <f t="shared" si="83"/>
        <v>5.1149999999999887</v>
      </c>
      <c r="P118" s="76">
        <f t="shared" si="83"/>
        <v>7.9569999999999901</v>
      </c>
      <c r="Q118" s="76">
        <f t="shared" si="83"/>
        <v>9.23599999999999</v>
      </c>
      <c r="R118" s="76">
        <f t="shared" si="83"/>
        <v>13.106000000000016</v>
      </c>
      <c r="S118" s="76">
        <f t="shared" si="83"/>
        <v>14.637999999999984</v>
      </c>
      <c r="T118" s="75">
        <f t="shared" ca="1" si="83"/>
        <v>17.078152847987226</v>
      </c>
      <c r="U118" s="75">
        <f t="shared" ca="1" si="83"/>
        <v>18.787990488528322</v>
      </c>
      <c r="V118" s="75">
        <f t="shared" ca="1" si="83"/>
        <v>20.448183245819688</v>
      </c>
      <c r="W118" s="75">
        <f t="shared" ca="1" si="83"/>
        <v>22.123605661162919</v>
      </c>
      <c r="X118" s="75">
        <f t="shared" ca="1" si="83"/>
        <v>23.815173659568728</v>
      </c>
      <c r="Y118" s="75">
        <f t="shared" ca="1" si="83"/>
        <v>25.529571395275415</v>
      </c>
      <c r="Z118" s="75">
        <f t="shared" ca="1" si="83"/>
        <v>27.492312003541649</v>
      </c>
      <c r="AA118" s="75">
        <f t="shared" ca="1" si="83"/>
        <v>29.685427490958958</v>
      </c>
      <c r="AB118" s="75">
        <f t="shared" ca="1" si="83"/>
        <v>32.031161971746222</v>
      </c>
      <c r="AC118" s="75">
        <f t="shared" ca="1" si="83"/>
        <v>34.603758007927013</v>
      </c>
    </row>
    <row r="119" spans="1:29" x14ac:dyDescent="0.2">
      <c r="A119" s="3" t="s">
        <v>719</v>
      </c>
      <c r="B119" s="4" t="str">
        <f>$B$46</f>
        <v>From Fiscal Forecasts</v>
      </c>
      <c r="F119" s="65">
        <f>SUM('Fiscal Forecasts'!F$98:F$99)</f>
        <v>-0.59199999999999997</v>
      </c>
      <c r="G119" s="65">
        <f>SUM('Fiscal Forecasts'!G$98:G$99)</f>
        <v>-0.34600000000000009</v>
      </c>
      <c r="H119" s="65">
        <f>SUM('Fiscal Forecasts'!H$98:H$99)</f>
        <v>-1.4809999999999999</v>
      </c>
      <c r="I119" s="65">
        <f>SUM('Fiscal Forecasts'!I$98:I$99)</f>
        <v>-0.82199999999999995</v>
      </c>
      <c r="J119" s="65">
        <f>SUM('Fiscal Forecasts'!J$98:J$99)</f>
        <v>-0.70200000000000007</v>
      </c>
      <c r="K119" s="65">
        <f>SUM('Fiscal Forecasts'!K$98:K$99)</f>
        <v>-0.60199999999999998</v>
      </c>
      <c r="L119" s="65">
        <f>SUM('Fiscal Forecasts'!L$98:L$99)</f>
        <v>-1.181</v>
      </c>
      <c r="M119" s="65">
        <f>SUM('Fiscal Forecasts'!M$98:M$99)</f>
        <v>-0.83600000000000008</v>
      </c>
      <c r="N119" s="65">
        <f>SUM('Fiscal Forecasts'!N$98:N$99)</f>
        <v>-1.0009999999999999</v>
      </c>
      <c r="O119" s="73">
        <f>SUM('Fiscal Forecasts'!O$98:O$99)</f>
        <v>-0.89500000000000002</v>
      </c>
      <c r="P119" s="73">
        <f>SUM('Fiscal Forecasts'!P$98:P$99)</f>
        <v>-0.90700000000000003</v>
      </c>
      <c r="Q119" s="73">
        <f>SUM('Fiscal Forecasts'!Q$98:Q$99)</f>
        <v>-0.91200000000000003</v>
      </c>
      <c r="R119" s="73">
        <f>SUM('Fiscal Forecasts'!R$98:R$99)</f>
        <v>-0.91900000000000004</v>
      </c>
      <c r="S119" s="73">
        <f>SUM('Fiscal Forecasts'!S$98:S$99)</f>
        <v>-0.875</v>
      </c>
      <c r="T119" s="77">
        <f t="shared" ref="T119:AC119" ca="1" si="84">SUM(T$390,T$393)</f>
        <v>-0.71599999999999997</v>
      </c>
      <c r="U119" s="77">
        <f t="shared" ca="1" si="84"/>
        <v>-0.72799999999999998</v>
      </c>
      <c r="V119" s="77">
        <f t="shared" ca="1" si="84"/>
        <v>-0.74299999999999999</v>
      </c>
      <c r="W119" s="77">
        <f t="shared" ca="1" si="84"/>
        <v>-0.75800000000000001</v>
      </c>
      <c r="X119" s="77">
        <f t="shared" ca="1" si="84"/>
        <v>-0.78300000000000003</v>
      </c>
      <c r="Y119" s="77">
        <f t="shared" ca="1" si="84"/>
        <v>-0.80400000000000005</v>
      </c>
      <c r="Z119" s="77">
        <f t="shared" ca="1" si="84"/>
        <v>-0.82900000000000007</v>
      </c>
      <c r="AA119" s="77">
        <f t="shared" ca="1" si="84"/>
        <v>-0.85400000000000009</v>
      </c>
      <c r="AB119" s="77">
        <f t="shared" ca="1" si="84"/>
        <v>-0.87600000000000011</v>
      </c>
      <c r="AC119" s="77">
        <f t="shared" ca="1" si="84"/>
        <v>-0.89900000000000013</v>
      </c>
    </row>
    <row r="120" spans="1:29" x14ac:dyDescent="0.2">
      <c r="A120" s="3" t="s">
        <v>290</v>
      </c>
      <c r="B120" s="4" t="str">
        <f>$B$46</f>
        <v>From Fiscal Forecasts</v>
      </c>
      <c r="F120" s="65">
        <f>'Fiscal Forecasts'!F$100</f>
        <v>1.2999999999999999E-2</v>
      </c>
      <c r="G120" s="65">
        <f>'Fiscal Forecasts'!G$100</f>
        <v>2E-3</v>
      </c>
      <c r="H120" s="65">
        <f>'Fiscal Forecasts'!H$100</f>
        <v>-4.1000000000000002E-2</v>
      </c>
      <c r="I120" s="65">
        <f>'Fiscal Forecasts'!I$100</f>
        <v>0.28399999999999997</v>
      </c>
      <c r="J120" s="65">
        <f>'Fiscal Forecasts'!J$100</f>
        <v>0.35799999999999998</v>
      </c>
      <c r="K120" s="65">
        <f>'Fiscal Forecasts'!K$100</f>
        <v>0.51200000000000001</v>
      </c>
      <c r="L120" s="65">
        <f>'Fiscal Forecasts'!L$100</f>
        <v>0.38500000000000001</v>
      </c>
      <c r="M120" s="65">
        <f>'Fiscal Forecasts'!M$100</f>
        <v>0.442</v>
      </c>
      <c r="N120" s="65">
        <f>'Fiscal Forecasts'!N$100</f>
        <v>0.373</v>
      </c>
      <c r="O120" s="73">
        <f>'Fiscal Forecasts'!O$100</f>
        <v>0.46300000000000002</v>
      </c>
      <c r="P120" s="73">
        <f>'Fiscal Forecasts'!P$100</f>
        <v>0.50600000000000001</v>
      </c>
      <c r="Q120" s="73">
        <f>'Fiscal Forecasts'!Q$100</f>
        <v>0.50800000000000001</v>
      </c>
      <c r="R120" s="73">
        <f>'Fiscal Forecasts'!R$100</f>
        <v>0.502</v>
      </c>
      <c r="S120" s="73">
        <f>'Fiscal Forecasts'!S$100</f>
        <v>0.49299999999999999</v>
      </c>
      <c r="T120" s="26">
        <f t="shared" ref="T120:AC120" ca="1" si="85">-(T$446-S$446+T$334)</f>
        <v>0.27324645671008696</v>
      </c>
      <c r="U120" s="26">
        <f t="shared" ca="1" si="85"/>
        <v>0.28660206809276367</v>
      </c>
      <c r="V120" s="26">
        <f t="shared" ca="1" si="85"/>
        <v>0.29137850862776915</v>
      </c>
      <c r="W120" s="26">
        <f t="shared" ca="1" si="85"/>
        <v>0.28557753238644246</v>
      </c>
      <c r="X120" s="26">
        <f t="shared" ca="1" si="85"/>
        <v>0.27826307363904501</v>
      </c>
      <c r="Y120" s="26">
        <f t="shared" ca="1" si="85"/>
        <v>0.26767717647964773</v>
      </c>
      <c r="Z120" s="26">
        <f t="shared" ca="1" si="85"/>
        <v>0.26036695792378861</v>
      </c>
      <c r="AA120" s="26">
        <f t="shared" ca="1" si="85"/>
        <v>0.25607946418852023</v>
      </c>
      <c r="AB120" s="26">
        <f t="shared" ca="1" si="85"/>
        <v>0.26212067363819447</v>
      </c>
      <c r="AC120" s="26">
        <f t="shared" ca="1" si="85"/>
        <v>0.26639968699038974</v>
      </c>
    </row>
    <row r="121" spans="1:29" x14ac:dyDescent="0.2">
      <c r="A121" s="3" t="s">
        <v>291</v>
      </c>
      <c r="B121" s="4" t="str">
        <f>$B$46</f>
        <v>From Fiscal Forecasts</v>
      </c>
      <c r="F121" s="65">
        <f>'Fiscal Forecasts'!F$101</f>
        <v>-1.0980000000000001</v>
      </c>
      <c r="G121" s="65">
        <f>'Fiscal Forecasts'!G$101</f>
        <v>-1.3580000000000001</v>
      </c>
      <c r="H121" s="65">
        <f>'Fiscal Forecasts'!H$101</f>
        <v>-1.5920000000000001</v>
      </c>
      <c r="I121" s="65">
        <f>'Fiscal Forecasts'!I$101</f>
        <v>-0.97399999999999998</v>
      </c>
      <c r="J121" s="65">
        <f>'Fiscal Forecasts'!J$101</f>
        <v>-13.179</v>
      </c>
      <c r="K121" s="65">
        <f>'Fiscal Forecasts'!K$101</f>
        <v>1.07</v>
      </c>
      <c r="L121" s="65">
        <f>'Fiscal Forecasts'!L$101</f>
        <v>1.1060000000000001</v>
      </c>
      <c r="M121" s="65">
        <f>'Fiscal Forecasts'!M$101</f>
        <v>1.409</v>
      </c>
      <c r="N121" s="65">
        <f>'Fiscal Forecasts'!N$101</f>
        <v>0.746</v>
      </c>
      <c r="O121" s="73">
        <f>'Fiscal Forecasts'!O$101</f>
        <v>0.92500000000000004</v>
      </c>
      <c r="P121" s="73">
        <f>'Fiscal Forecasts'!P$101</f>
        <v>-0.11700000000000001</v>
      </c>
      <c r="Q121" s="73">
        <f>'Fiscal Forecasts'!Q$101</f>
        <v>-0.81699999999999995</v>
      </c>
      <c r="R121" s="73">
        <f>'Fiscal Forecasts'!R$101</f>
        <v>-1.173</v>
      </c>
      <c r="S121" s="73">
        <f>'Fiscal Forecasts'!S$101</f>
        <v>-1.319</v>
      </c>
      <c r="T121" s="26">
        <f t="shared" ref="T121:AC121" ca="1" si="86">-(T$441-S$441+T$335)</f>
        <v>-1.6228423426228673</v>
      </c>
      <c r="U121" s="26">
        <f t="shared" ca="1" si="86"/>
        <v>-1.7033888364121594</v>
      </c>
      <c r="V121" s="26">
        <f t="shared" ca="1" si="86"/>
        <v>-1.7817424640185209</v>
      </c>
      <c r="W121" s="26">
        <f t="shared" ca="1" si="86"/>
        <v>-1.8474165684701589</v>
      </c>
      <c r="X121" s="26">
        <f t="shared" ca="1" si="86"/>
        <v>-1.9451317053757364</v>
      </c>
      <c r="Y121" s="26">
        <f t="shared" ca="1" si="86"/>
        <v>-1.9544834451777859</v>
      </c>
      <c r="Z121" s="26">
        <f t="shared" ca="1" si="86"/>
        <v>-2.0213150606367023</v>
      </c>
      <c r="AA121" s="26">
        <f t="shared" ca="1" si="86"/>
        <v>-2.0707762131927865</v>
      </c>
      <c r="AB121" s="26">
        <f t="shared" ca="1" si="86"/>
        <v>-2.1249990898757289</v>
      </c>
      <c r="AC121" s="26">
        <f t="shared" ca="1" si="86"/>
        <v>-2.2025586179802303</v>
      </c>
    </row>
    <row r="122" spans="1:29" x14ac:dyDescent="0.2">
      <c r="A122" s="3" t="s">
        <v>257</v>
      </c>
      <c r="B122" s="4" t="str">
        <f>$B$46</f>
        <v>From Fiscal Forecasts</v>
      </c>
      <c r="F122" s="65">
        <f>'Fiscal Forecasts'!F$102</f>
        <v>0.17899999999999999</v>
      </c>
      <c r="G122" s="65">
        <f>'Fiscal Forecasts'!G$102</f>
        <v>0.40100000000000002</v>
      </c>
      <c r="H122" s="65">
        <f>'Fiscal Forecasts'!H$102</f>
        <v>0.21199999999999999</v>
      </c>
      <c r="I122" s="65">
        <f>'Fiscal Forecasts'!I$102</f>
        <v>0.22700000000000001</v>
      </c>
      <c r="J122" s="65">
        <f>'Fiscal Forecasts'!J$102</f>
        <v>0.13700000000000001</v>
      </c>
      <c r="K122" s="65">
        <f>'Fiscal Forecasts'!K$102</f>
        <v>0.28799999999999998</v>
      </c>
      <c r="L122" s="65">
        <f>'Fiscal Forecasts'!L$102</f>
        <v>0.33100000000000002</v>
      </c>
      <c r="M122" s="65">
        <f>'Fiscal Forecasts'!M$102</f>
        <v>0.20200000000000001</v>
      </c>
      <c r="N122" s="65">
        <f>'Fiscal Forecasts'!N$102</f>
        <v>0.69899999999999995</v>
      </c>
      <c r="O122" s="73">
        <f>'Fiscal Forecasts'!O$102</f>
        <v>-0.214</v>
      </c>
      <c r="P122" s="73">
        <f>'Fiscal Forecasts'!P$102</f>
        <v>-0.23699999999999999</v>
      </c>
      <c r="Q122" s="73">
        <f>'Fiscal Forecasts'!Q$102</f>
        <v>-0.25900000000000001</v>
      </c>
      <c r="R122" s="73">
        <f>'Fiscal Forecasts'!R$102</f>
        <v>-0.254</v>
      </c>
      <c r="S122" s="73">
        <f>'Fiscal Forecasts'!S$102</f>
        <v>-0.307</v>
      </c>
      <c r="T122" s="78">
        <f t="shared" ref="T122:AC122" ca="1" si="87">T$46+T$341</f>
        <v>-0.31103353886009072</v>
      </c>
      <c r="U122" s="78">
        <f t="shared" ca="1" si="87"/>
        <v>-0.30372063224974194</v>
      </c>
      <c r="V122" s="78">
        <f t="shared" ca="1" si="87"/>
        <v>-0.29666575748762392</v>
      </c>
      <c r="W122" s="78">
        <f t="shared" ca="1" si="87"/>
        <v>-0.29011681134784417</v>
      </c>
      <c r="X122" s="78">
        <f t="shared" ca="1" si="87"/>
        <v>-0.28401193558745985</v>
      </c>
      <c r="Y122" s="78">
        <f t="shared" ca="1" si="87"/>
        <v>-0.27846572657042246</v>
      </c>
      <c r="Z122" s="78">
        <f t="shared" ca="1" si="87"/>
        <v>-0.27351239597733751</v>
      </c>
      <c r="AA122" s="78">
        <f t="shared" ca="1" si="87"/>
        <v>-0.2691443932386669</v>
      </c>
      <c r="AB122" s="78">
        <f t="shared" ca="1" si="87"/>
        <v>-0.26542289585342316</v>
      </c>
      <c r="AC122" s="78">
        <f t="shared" ca="1" si="87"/>
        <v>-0.26226623024829576</v>
      </c>
    </row>
    <row r="123" spans="1:29" x14ac:dyDescent="0.2">
      <c r="A123" s="31" t="s">
        <v>720</v>
      </c>
      <c r="F123" s="56">
        <f t="shared" ref="F123:AC123" si="88">SUM(F$119:F$122,-F$213)</f>
        <v>-4.8949999999999978</v>
      </c>
      <c r="G123" s="56">
        <f t="shared" si="88"/>
        <v>-4.9709999999999965</v>
      </c>
      <c r="H123" s="56">
        <f t="shared" si="88"/>
        <v>-7.2070000000000061</v>
      </c>
      <c r="I123" s="56">
        <f t="shared" si="88"/>
        <v>-5.5139999999999922</v>
      </c>
      <c r="J123" s="56">
        <f t="shared" si="88"/>
        <v>-18.068000000000005</v>
      </c>
      <c r="K123" s="56">
        <f t="shared" si="88"/>
        <v>-5.0819999999999999</v>
      </c>
      <c r="L123" s="56">
        <f t="shared" si="88"/>
        <v>-4.1709999999999994</v>
      </c>
      <c r="M123" s="56">
        <f t="shared" si="88"/>
        <v>-3.6550000000000002</v>
      </c>
      <c r="N123" s="56">
        <f t="shared" si="88"/>
        <v>-4.0250000000000004</v>
      </c>
      <c r="O123" s="57">
        <f t="shared" si="88"/>
        <v>-4.657</v>
      </c>
      <c r="P123" s="57">
        <f t="shared" si="88"/>
        <v>-5.8679999999999994</v>
      </c>
      <c r="Q123" s="57">
        <f t="shared" si="88"/>
        <v>-6.786999999999999</v>
      </c>
      <c r="R123" s="57">
        <f t="shared" si="88"/>
        <v>-7.2869999999999999</v>
      </c>
      <c r="S123" s="57">
        <f t="shared" si="88"/>
        <v>-7.5179999999999998</v>
      </c>
      <c r="T123" s="58">
        <f t="shared" ca="1" si="88"/>
        <v>-7.9598798050576098</v>
      </c>
      <c r="U123" s="58">
        <f t="shared" ca="1" si="88"/>
        <v>-8.1134046825127797</v>
      </c>
      <c r="V123" s="58">
        <f t="shared" ca="1" si="88"/>
        <v>-8.2822985350117122</v>
      </c>
      <c r="W123" s="58">
        <f t="shared" ca="1" si="88"/>
        <v>-8.4599959472261084</v>
      </c>
      <c r="X123" s="58">
        <f t="shared" ca="1" si="88"/>
        <v>-8.6873359323871497</v>
      </c>
      <c r="Y123" s="58">
        <f t="shared" ca="1" si="88"/>
        <v>-8.8334508956507456</v>
      </c>
      <c r="Z123" s="58">
        <f t="shared" ca="1" si="88"/>
        <v>-9.0456540145920279</v>
      </c>
      <c r="AA123" s="58">
        <f t="shared" ca="1" si="88"/>
        <v>-9.2453129543568249</v>
      </c>
      <c r="AB123" s="58">
        <f t="shared" ca="1" si="88"/>
        <v>-9.4443448123176577</v>
      </c>
      <c r="AC123" s="58">
        <f t="shared" ca="1" si="88"/>
        <v>-9.6773407407680647</v>
      </c>
    </row>
    <row r="124" spans="1:29" x14ac:dyDescent="0.2">
      <c r="A124" s="3" t="s">
        <v>293</v>
      </c>
      <c r="B124" s="4" t="str">
        <f t="shared" ref="B124:B129" si="89">$B$46</f>
        <v>From Fiscal Forecasts</v>
      </c>
      <c r="F124" s="65">
        <f>'Fiscal Forecasts'!F$104</f>
        <v>-1.591</v>
      </c>
      <c r="G124" s="65">
        <f>'Fiscal Forecasts'!G$104</f>
        <v>2.1</v>
      </c>
      <c r="H124" s="65">
        <f>'Fiscal Forecasts'!H$104</f>
        <v>0.46100000000000002</v>
      </c>
      <c r="I124" s="65">
        <f>'Fiscal Forecasts'!I$104</f>
        <v>-0.33800000000000002</v>
      </c>
      <c r="J124" s="65">
        <f>'Fiscal Forecasts'!J$104</f>
        <v>6.6050000000000004</v>
      </c>
      <c r="K124" s="65">
        <f>'Fiscal Forecasts'!K$104</f>
        <v>-0.24199999999999999</v>
      </c>
      <c r="L124" s="65">
        <f>'Fiscal Forecasts'!L$104</f>
        <v>-1.302</v>
      </c>
      <c r="M124" s="65">
        <f>'Fiscal Forecasts'!M$104</f>
        <v>-1.5529999999999999</v>
      </c>
      <c r="N124" s="65">
        <f>'Fiscal Forecasts'!N$104</f>
        <v>0.14099999999999999</v>
      </c>
      <c r="O124" s="73">
        <f>'Fiscal Forecasts'!O$104</f>
        <v>2.8000000000000001E-2</v>
      </c>
      <c r="P124" s="73">
        <f>'Fiscal Forecasts'!P$104</f>
        <v>7.6999999999999999E-2</v>
      </c>
      <c r="Q124" s="73">
        <f>'Fiscal Forecasts'!Q$104</f>
        <v>0.498</v>
      </c>
      <c r="R124" s="73">
        <f>'Fiscal Forecasts'!R$104</f>
        <v>0.66200000000000003</v>
      </c>
      <c r="S124" s="73">
        <f>'Fiscal Forecasts'!S$104</f>
        <v>0.64400000000000002</v>
      </c>
      <c r="T124" s="26">
        <f t="shared" ref="T124:AC124" ca="1" si="90">T$352-S$352-(T$428-S$428)</f>
        <v>0.28590174681122171</v>
      </c>
      <c r="U124" s="26">
        <f t="shared" ca="1" si="90"/>
        <v>0.20957113602501209</v>
      </c>
      <c r="V124" s="26">
        <f t="shared" ca="1" si="90"/>
        <v>0.38064246918609967</v>
      </c>
      <c r="W124" s="26">
        <f t="shared" ca="1" si="90"/>
        <v>0.39173620964813427</v>
      </c>
      <c r="X124" s="26">
        <f t="shared" ca="1" si="90"/>
        <v>0.40251240858198312</v>
      </c>
      <c r="Y124" s="26">
        <f t="shared" ca="1" si="90"/>
        <v>0.41082277631331277</v>
      </c>
      <c r="Z124" s="26">
        <f t="shared" ca="1" si="90"/>
        <v>0.41693718074320074</v>
      </c>
      <c r="AA124" s="26">
        <f t="shared" ca="1" si="90"/>
        <v>0.42272671458145261</v>
      </c>
      <c r="AB124" s="26">
        <f t="shared" ca="1" si="90"/>
        <v>0.42855139170069911</v>
      </c>
      <c r="AC124" s="26">
        <f t="shared" ca="1" si="90"/>
        <v>0.43672057938371367</v>
      </c>
    </row>
    <row r="125" spans="1:29" x14ac:dyDescent="0.2">
      <c r="A125" s="3" t="s">
        <v>294</v>
      </c>
      <c r="B125" s="4" t="str">
        <f t="shared" si="89"/>
        <v>From Fiscal Forecasts</v>
      </c>
      <c r="F125" s="65">
        <f>'Fiscal Forecasts'!F$105</f>
        <v>6.0999999999999999E-2</v>
      </c>
      <c r="G125" s="65">
        <f>'Fiscal Forecasts'!G$105</f>
        <v>-0.17899999999999999</v>
      </c>
      <c r="H125" s="65">
        <f>'Fiscal Forecasts'!H$105</f>
        <v>1.6E-2</v>
      </c>
      <c r="I125" s="65">
        <f>'Fiscal Forecasts'!I$105</f>
        <v>-0.42</v>
      </c>
      <c r="J125" s="65">
        <f>'Fiscal Forecasts'!J$105</f>
        <v>-0.59899999999999998</v>
      </c>
      <c r="K125" s="65">
        <f>'Fiscal Forecasts'!K$105</f>
        <v>-0.17499999999999999</v>
      </c>
      <c r="L125" s="65">
        <f>'Fiscal Forecasts'!L$105</f>
        <v>0.25700000000000001</v>
      </c>
      <c r="M125" s="65">
        <f>'Fiscal Forecasts'!M$105</f>
        <v>0.14299999999999999</v>
      </c>
      <c r="N125" s="65">
        <f>'Fiscal Forecasts'!N$105</f>
        <v>0.19600000000000001</v>
      </c>
      <c r="O125" s="73">
        <f>'Fiscal Forecasts'!O$105</f>
        <v>0.51300000000000001</v>
      </c>
      <c r="P125" s="73">
        <f>'Fiscal Forecasts'!P$105</f>
        <v>0.42799999999999999</v>
      </c>
      <c r="Q125" s="73">
        <f>'Fiscal Forecasts'!Q$105</f>
        <v>0.43099999999999999</v>
      </c>
      <c r="R125" s="73">
        <f>'Fiscal Forecasts'!R$105</f>
        <v>0.442</v>
      </c>
      <c r="S125" s="73">
        <f>'Fiscal Forecasts'!S$105</f>
        <v>0.155</v>
      </c>
      <c r="T125" s="26">
        <f t="shared" ref="T125:AC125" ca="1" si="91">T$166-(T$348-S$348)-T$98-(T$227-T$103)</f>
        <v>0.30197645489657265</v>
      </c>
      <c r="U125" s="26">
        <f t="shared" ca="1" si="91"/>
        <v>0.32260239948384317</v>
      </c>
      <c r="V125" s="26">
        <f t="shared" ca="1" si="91"/>
        <v>0.33262318692885806</v>
      </c>
      <c r="W125" s="26">
        <f t="shared" ca="1" si="91"/>
        <v>0.34558535356065878</v>
      </c>
      <c r="X125" s="26">
        <f t="shared" ca="1" si="91"/>
        <v>0.3648157776033667</v>
      </c>
      <c r="Y125" s="26">
        <f t="shared" ca="1" si="91"/>
        <v>0.38773259802598758</v>
      </c>
      <c r="Z125" s="26">
        <f t="shared" ca="1" si="91"/>
        <v>0.4162584893950676</v>
      </c>
      <c r="AA125" s="26">
        <f t="shared" ca="1" si="91"/>
        <v>0.46557434575910417</v>
      </c>
      <c r="AB125" s="26">
        <f t="shared" ca="1" si="91"/>
        <v>0.51959715785100702</v>
      </c>
      <c r="AC125" s="26">
        <f t="shared" ca="1" si="91"/>
        <v>0.58366692168861789</v>
      </c>
    </row>
    <row r="126" spans="1:29" x14ac:dyDescent="0.2">
      <c r="A126" s="3" t="s">
        <v>295</v>
      </c>
      <c r="B126" s="4" t="str">
        <f t="shared" si="89"/>
        <v>From Fiscal Forecasts</v>
      </c>
      <c r="F126" s="65">
        <f>'Fiscal Forecasts'!F$106</f>
        <v>8.3000000000000004E-2</v>
      </c>
      <c r="G126" s="65">
        <f>'Fiscal Forecasts'!G$106</f>
        <v>0.13800000000000001</v>
      </c>
      <c r="H126" s="65">
        <f>'Fiscal Forecasts'!H$106</f>
        <v>0.11799999999999999</v>
      </c>
      <c r="I126" s="65">
        <f>'Fiscal Forecasts'!I$106</f>
        <v>7.8E-2</v>
      </c>
      <c r="J126" s="65">
        <f>'Fiscal Forecasts'!J$106</f>
        <v>0.14899999999999999</v>
      </c>
      <c r="K126" s="65">
        <f>'Fiscal Forecasts'!K$106</f>
        <v>-7.3999999999999996E-2</v>
      </c>
      <c r="L126" s="65">
        <f>'Fiscal Forecasts'!L$106</f>
        <v>-9.4E-2</v>
      </c>
      <c r="M126" s="65">
        <f>'Fiscal Forecasts'!M$106</f>
        <v>-4.1000000000000002E-2</v>
      </c>
      <c r="N126" s="65">
        <f>'Fiscal Forecasts'!N$106</f>
        <v>-0.105</v>
      </c>
      <c r="O126" s="73">
        <f>'Fiscal Forecasts'!O$106</f>
        <v>-2.7E-2</v>
      </c>
      <c r="P126" s="73">
        <f>'Fiscal Forecasts'!P$106</f>
        <v>-0.10199999999999999</v>
      </c>
      <c r="Q126" s="73">
        <f>'Fiscal Forecasts'!Q$106</f>
        <v>-8.0000000000000002E-3</v>
      </c>
      <c r="R126" s="73">
        <f>'Fiscal Forecasts'!R$106</f>
        <v>-8.9999999999999993E-3</v>
      </c>
      <c r="S126" s="73">
        <f>'Fiscal Forecasts'!S$106</f>
        <v>-8.0000000000000002E-3</v>
      </c>
      <c r="T126" s="26">
        <f t="shared" ref="T126:AC126" ca="1" si="92">T$398-S$398</f>
        <v>5.3345930772860428E-2</v>
      </c>
      <c r="U126" s="26">
        <f t="shared" ca="1" si="92"/>
        <v>5.3002820853839561E-2</v>
      </c>
      <c r="V126" s="26">
        <f t="shared" ca="1" si="92"/>
        <v>5.298334952866246E-2</v>
      </c>
      <c r="W126" s="26">
        <f t="shared" ca="1" si="92"/>
        <v>5.1841935419340457E-2</v>
      </c>
      <c r="X126" s="26">
        <f t="shared" ca="1" si="92"/>
        <v>5.0509201408971638E-2</v>
      </c>
      <c r="Y126" s="26">
        <f t="shared" ca="1" si="92"/>
        <v>4.8367591796742992E-2</v>
      </c>
      <c r="Z126" s="26">
        <f t="shared" ca="1" si="92"/>
        <v>4.9783916074933376E-2</v>
      </c>
      <c r="AA126" s="26">
        <f t="shared" ca="1" si="92"/>
        <v>5.1235266041560035E-2</v>
      </c>
      <c r="AB126" s="26">
        <f t="shared" ca="1" si="92"/>
        <v>5.2488769610117725E-2</v>
      </c>
      <c r="AC126" s="26">
        <f t="shared" ca="1" si="92"/>
        <v>5.4015829568498042E-2</v>
      </c>
    </row>
    <row r="127" spans="1:29" x14ac:dyDescent="0.2">
      <c r="A127" s="3" t="s">
        <v>296</v>
      </c>
      <c r="B127" s="4" t="str">
        <f t="shared" si="89"/>
        <v>From Fiscal Forecasts</v>
      </c>
      <c r="F127" s="65">
        <f>'Fiscal Forecasts'!F$107</f>
        <v>-8.8999999999999996E-2</v>
      </c>
      <c r="G127" s="65">
        <f>'Fiscal Forecasts'!G$107</f>
        <v>7.6999999999999999E-2</v>
      </c>
      <c r="H127" s="65">
        <f>'Fiscal Forecasts'!H$107</f>
        <v>3.1E-2</v>
      </c>
      <c r="I127" s="65">
        <f>'Fiscal Forecasts'!I$107</f>
        <v>1.7999999999999999E-2</v>
      </c>
      <c r="J127" s="65">
        <f>'Fiscal Forecasts'!J$107</f>
        <v>3.9E-2</v>
      </c>
      <c r="K127" s="65">
        <f>'Fiscal Forecasts'!K$107</f>
        <v>3.2000000000000001E-2</v>
      </c>
      <c r="L127" s="65">
        <f>'Fiscal Forecasts'!L$107</f>
        <v>3.2000000000000001E-2</v>
      </c>
      <c r="M127" s="65">
        <f>'Fiscal Forecasts'!M$107</f>
        <v>3.9E-2</v>
      </c>
      <c r="N127" s="65">
        <f>'Fiscal Forecasts'!N$107</f>
        <v>-1.2E-2</v>
      </c>
      <c r="O127" s="73">
        <f>'Fiscal Forecasts'!O$107</f>
        <v>-0.05</v>
      </c>
      <c r="P127" s="73">
        <f>'Fiscal Forecasts'!P$107</f>
        <v>1E-3</v>
      </c>
      <c r="Q127" s="73">
        <f>'Fiscal Forecasts'!Q$107</f>
        <v>-0.01</v>
      </c>
      <c r="R127" s="73">
        <f>'Fiscal Forecasts'!R$107</f>
        <v>1E-3</v>
      </c>
      <c r="S127" s="73">
        <f>'Fiscal Forecasts'!S$107</f>
        <v>7.0000000000000001E-3</v>
      </c>
      <c r="T127" s="26">
        <f t="shared" ref="T127:AC127" ca="1" si="93">T$401-S$401</f>
        <v>0.11382681570364017</v>
      </c>
      <c r="U127" s="26">
        <f t="shared" ca="1" si="93"/>
        <v>0.11656760013765721</v>
      </c>
      <c r="V127" s="26">
        <f t="shared" ca="1" si="93"/>
        <v>0.12080924280410876</v>
      </c>
      <c r="W127" s="26">
        <f t="shared" ca="1" si="93"/>
        <v>0.12280245900171405</v>
      </c>
      <c r="X127" s="26">
        <f t="shared" ca="1" si="93"/>
        <v>0.12508061141700688</v>
      </c>
      <c r="Y127" s="26">
        <f t="shared" ca="1" si="93"/>
        <v>0.12609424717259321</v>
      </c>
      <c r="Z127" s="26">
        <f t="shared" ca="1" si="93"/>
        <v>0.12978660267297037</v>
      </c>
      <c r="AA127" s="26">
        <f t="shared" ca="1" si="93"/>
        <v>0.13357027009628997</v>
      </c>
      <c r="AB127" s="26">
        <f t="shared" ca="1" si="93"/>
        <v>0.1368381522242581</v>
      </c>
      <c r="AC127" s="26">
        <f t="shared" ca="1" si="93"/>
        <v>0.14081919549489541</v>
      </c>
    </row>
    <row r="128" spans="1:29" x14ac:dyDescent="0.2">
      <c r="A128" s="3" t="s">
        <v>297</v>
      </c>
      <c r="B128" s="4" t="str">
        <f t="shared" si="89"/>
        <v>From Fiscal Forecasts</v>
      </c>
      <c r="F128" s="65">
        <f>'Fiscal Forecasts'!F$108</f>
        <v>-7.2999999999999995E-2</v>
      </c>
      <c r="G128" s="65">
        <f>'Fiscal Forecasts'!G$108</f>
        <v>-0.32600000000000001</v>
      </c>
      <c r="H128" s="65">
        <f>'Fiscal Forecasts'!H$108</f>
        <v>-0.13400000000000001</v>
      </c>
      <c r="I128" s="65">
        <f>'Fiscal Forecasts'!I$108</f>
        <v>-0.20200000000000001</v>
      </c>
      <c r="J128" s="65">
        <f>'Fiscal Forecasts'!J$108</f>
        <v>-4.5999999999999999E-2</v>
      </c>
      <c r="K128" s="65">
        <f>'Fiscal Forecasts'!K$108</f>
        <v>-3.7999999999999999E-2</v>
      </c>
      <c r="L128" s="65">
        <f>'Fiscal Forecasts'!L$108</f>
        <v>-2E-3</v>
      </c>
      <c r="M128" s="65">
        <f>'Fiscal Forecasts'!M$108</f>
        <v>-0.248</v>
      </c>
      <c r="N128" s="65">
        <f>'Fiscal Forecasts'!N$108</f>
        <v>-0.14899999999999999</v>
      </c>
      <c r="O128" s="73">
        <f>'Fiscal Forecasts'!O$108</f>
        <v>-5.7000000000000002E-2</v>
      </c>
      <c r="P128" s="73">
        <f>'Fiscal Forecasts'!P$108</f>
        <v>-7.0000000000000001E-3</v>
      </c>
      <c r="Q128" s="73">
        <f>'Fiscal Forecasts'!Q$108</f>
        <v>-1.2E-2</v>
      </c>
      <c r="R128" s="73">
        <f>'Fiscal Forecasts'!R$108</f>
        <v>-1.0999999999999999E-2</v>
      </c>
      <c r="S128" s="73">
        <f>'Fiscal Forecasts'!S$108</f>
        <v>-1.4999999999999999E-2</v>
      </c>
      <c r="T128" s="26">
        <f t="shared" ref="T128:AC128" ca="1" si="94">-(T$434-S$434)</f>
        <v>-0.1272728062734787</v>
      </c>
      <c r="U128" s="26">
        <f t="shared" ca="1" si="94"/>
        <v>-0.12797101779415199</v>
      </c>
      <c r="V128" s="26">
        <f t="shared" ca="1" si="94"/>
        <v>-0.12979526697028865</v>
      </c>
      <c r="W128" s="26">
        <f t="shared" ca="1" si="94"/>
        <v>-0.12900633879155743</v>
      </c>
      <c r="X128" s="26">
        <f t="shared" ca="1" si="94"/>
        <v>-0.12806370240073583</v>
      </c>
      <c r="Y128" s="26">
        <f t="shared" ca="1" si="94"/>
        <v>-0.12539277704496365</v>
      </c>
      <c r="Z128" s="26">
        <f t="shared" ca="1" si="94"/>
        <v>-0.12906459174239293</v>
      </c>
      <c r="AA128" s="26">
        <f t="shared" ca="1" si="94"/>
        <v>-0.13282721038886525</v>
      </c>
      <c r="AB128" s="26">
        <f t="shared" ca="1" si="94"/>
        <v>-0.13607691308561654</v>
      </c>
      <c r="AC128" s="26">
        <f t="shared" ca="1" si="94"/>
        <v>-0.14003580956531136</v>
      </c>
    </row>
    <row r="129" spans="1:29" x14ac:dyDescent="0.2">
      <c r="A129" s="3" t="s">
        <v>298</v>
      </c>
      <c r="B129" s="4" t="str">
        <f t="shared" si="89"/>
        <v>From Fiscal Forecasts</v>
      </c>
      <c r="F129" s="65">
        <f>'Fiscal Forecasts'!F$109</f>
        <v>3.0000000000000001E-3</v>
      </c>
      <c r="G129" s="65">
        <f>'Fiscal Forecasts'!G$109</f>
        <v>-2.613</v>
      </c>
      <c r="H129" s="65">
        <f>'Fiscal Forecasts'!H$109</f>
        <v>-0.44500000000000001</v>
      </c>
      <c r="I129" s="65">
        <f>'Fiscal Forecasts'!I$109</f>
        <v>0.67700000000000005</v>
      </c>
      <c r="J129" s="65">
        <f>'Fiscal Forecasts'!J$109</f>
        <v>-1.49</v>
      </c>
      <c r="K129" s="65">
        <f>'Fiscal Forecasts'!K$109</f>
        <v>0.191</v>
      </c>
      <c r="L129" s="65">
        <f>'Fiscal Forecasts'!L$109</f>
        <v>0.36299999999999999</v>
      </c>
      <c r="M129" s="65">
        <f>'Fiscal Forecasts'!M$109</f>
        <v>0.40600000000000003</v>
      </c>
      <c r="N129" s="65">
        <f>'Fiscal Forecasts'!N$109</f>
        <v>-0.19600000000000001</v>
      </c>
      <c r="O129" s="73">
        <f>'Fiscal Forecasts'!O$109</f>
        <v>-0.56699999999999995</v>
      </c>
      <c r="P129" s="73">
        <f>'Fiscal Forecasts'!P$109</f>
        <v>0.23899999999999999</v>
      </c>
      <c r="Q129" s="73">
        <f>'Fiscal Forecasts'!Q$109</f>
        <v>5.5E-2</v>
      </c>
      <c r="R129" s="73">
        <f>'Fiscal Forecasts'!R$109</f>
        <v>-0.72599999999999998</v>
      </c>
      <c r="S129" s="73">
        <f>'Fiscal Forecasts'!S$109</f>
        <v>-0.111</v>
      </c>
      <c r="T129" s="26">
        <f t="shared" ref="T129:AC129" ca="1" si="95">-(SUM(T$431-T$428,T$453)-SUM(S$431-S$428,S$453))</f>
        <v>-1.0126379233823322</v>
      </c>
      <c r="U129" s="26">
        <f t="shared" ca="1" si="95"/>
        <v>-0.94044709629904411</v>
      </c>
      <c r="V129" s="26">
        <f t="shared" ca="1" si="95"/>
        <v>-1.0043838000030885</v>
      </c>
      <c r="W129" s="26">
        <f t="shared" ca="1" si="95"/>
        <v>-0.96906410876442806</v>
      </c>
      <c r="X129" s="26">
        <f t="shared" ca="1" si="95"/>
        <v>-0.9269724443377676</v>
      </c>
      <c r="Y129" s="26">
        <f t="shared" ca="1" si="95"/>
        <v>-0.86792117422629644</v>
      </c>
      <c r="Z129" s="26">
        <f t="shared" ca="1" si="95"/>
        <v>-0.89052557049344827</v>
      </c>
      <c r="AA129" s="26">
        <f t="shared" ca="1" si="95"/>
        <v>-0.91342088624112705</v>
      </c>
      <c r="AB129" s="26">
        <f t="shared" ca="1" si="95"/>
        <v>-0.93343267367419358</v>
      </c>
      <c r="AC129" s="26">
        <f t="shared" ca="1" si="95"/>
        <v>-0.95850349084749809</v>
      </c>
    </row>
    <row r="130" spans="1:29" x14ac:dyDescent="0.2">
      <c r="A130" s="31" t="s">
        <v>299</v>
      </c>
      <c r="F130" s="56">
        <f>SUM(F$124:F$129)</f>
        <v>-1.6060000000000001</v>
      </c>
      <c r="G130" s="56">
        <f t="shared" ref="G130:AC130" si="96">SUM(G$124:G$129)</f>
        <v>-0.80299999999999994</v>
      </c>
      <c r="H130" s="56">
        <f t="shared" si="96"/>
        <v>4.6999999999999986E-2</v>
      </c>
      <c r="I130" s="56">
        <f t="shared" si="96"/>
        <v>-0.18700000000000006</v>
      </c>
      <c r="J130" s="56">
        <f t="shared" si="96"/>
        <v>4.6579999999999995</v>
      </c>
      <c r="K130" s="56">
        <f t="shared" si="96"/>
        <v>-0.30599999999999994</v>
      </c>
      <c r="L130" s="56">
        <f t="shared" si="96"/>
        <v>-0.746</v>
      </c>
      <c r="M130" s="56">
        <f t="shared" si="96"/>
        <v>-1.254</v>
      </c>
      <c r="N130" s="56">
        <f t="shared" si="96"/>
        <v>-0.12500000000000003</v>
      </c>
      <c r="O130" s="57">
        <f t="shared" si="96"/>
        <v>-0.15999999999999992</v>
      </c>
      <c r="P130" s="57">
        <f t="shared" si="96"/>
        <v>0.63600000000000001</v>
      </c>
      <c r="Q130" s="57">
        <f t="shared" si="96"/>
        <v>0.95400000000000007</v>
      </c>
      <c r="R130" s="57">
        <f t="shared" si="96"/>
        <v>0.35900000000000021</v>
      </c>
      <c r="S130" s="57">
        <f t="shared" si="96"/>
        <v>0.67200000000000004</v>
      </c>
      <c r="T130" s="58">
        <f t="shared" ca="1" si="96"/>
        <v>-0.38485978147151589</v>
      </c>
      <c r="U130" s="58">
        <f t="shared" ca="1" si="96"/>
        <v>-0.36667415759284405</v>
      </c>
      <c r="V130" s="58">
        <f t="shared" ca="1" si="96"/>
        <v>-0.24712081852564816</v>
      </c>
      <c r="W130" s="58">
        <f t="shared" ca="1" si="96"/>
        <v>-0.18610448992613793</v>
      </c>
      <c r="X130" s="58">
        <f t="shared" ca="1" si="96"/>
        <v>-0.1121181477271751</v>
      </c>
      <c r="Y130" s="58">
        <f t="shared" ca="1" si="96"/>
        <v>-2.0296737962623546E-2</v>
      </c>
      <c r="Z130" s="58">
        <f t="shared" ca="1" si="96"/>
        <v>-6.8239733496691102E-3</v>
      </c>
      <c r="AA130" s="58">
        <f t="shared" ca="1" si="96"/>
        <v>2.6858499848414485E-2</v>
      </c>
      <c r="AB130" s="58">
        <f t="shared" ca="1" si="96"/>
        <v>6.7965884626271844E-2</v>
      </c>
      <c r="AC130" s="58">
        <f t="shared" ca="1" si="96"/>
        <v>0.11668322572291556</v>
      </c>
    </row>
    <row r="131" spans="1:29" x14ac:dyDescent="0.2">
      <c r="A131" s="2" t="s">
        <v>721</v>
      </c>
      <c r="F131" s="7" t="str">
        <f t="shared" ref="F131:AC131" si="97">IF(ROUND(F$52-SUM(F$118,F$123,F$130),3)=0,"OK","ERROR")</f>
        <v>OK</v>
      </c>
      <c r="G131" s="7" t="str">
        <f t="shared" si="97"/>
        <v>OK</v>
      </c>
      <c r="H131" s="7" t="str">
        <f t="shared" si="97"/>
        <v>OK</v>
      </c>
      <c r="I131" s="7" t="str">
        <f t="shared" si="97"/>
        <v>OK</v>
      </c>
      <c r="J131" s="7" t="str">
        <f t="shared" si="97"/>
        <v>OK</v>
      </c>
      <c r="K131" s="7" t="str">
        <f t="shared" si="97"/>
        <v>OK</v>
      </c>
      <c r="L131" s="7" t="str">
        <f t="shared" si="97"/>
        <v>OK</v>
      </c>
      <c r="M131" s="7" t="str">
        <f t="shared" si="97"/>
        <v>OK</v>
      </c>
      <c r="N131" s="7" t="str">
        <f t="shared" si="97"/>
        <v>OK</v>
      </c>
      <c r="O131" s="7" t="str">
        <f t="shared" si="97"/>
        <v>OK</v>
      </c>
      <c r="P131" s="7" t="str">
        <f t="shared" si="97"/>
        <v>OK</v>
      </c>
      <c r="Q131" s="7" t="str">
        <f t="shared" si="97"/>
        <v>OK</v>
      </c>
      <c r="R131" s="7" t="str">
        <f t="shared" si="97"/>
        <v>OK</v>
      </c>
      <c r="S131" s="7" t="str">
        <f t="shared" si="97"/>
        <v>OK</v>
      </c>
      <c r="T131" s="7" t="str">
        <f t="shared" ca="1" si="97"/>
        <v>OK</v>
      </c>
      <c r="U131" s="7" t="str">
        <f t="shared" ca="1" si="97"/>
        <v>OK</v>
      </c>
      <c r="V131" s="7" t="str">
        <f t="shared" ca="1" si="97"/>
        <v>OK</v>
      </c>
      <c r="W131" s="7" t="str">
        <f t="shared" ca="1" si="97"/>
        <v>OK</v>
      </c>
      <c r="X131" s="7" t="str">
        <f t="shared" ca="1" si="97"/>
        <v>OK</v>
      </c>
      <c r="Y131" s="7" t="str">
        <f t="shared" ca="1" si="97"/>
        <v>OK</v>
      </c>
      <c r="Z131" s="7" t="str">
        <f t="shared" ca="1" si="97"/>
        <v>OK</v>
      </c>
      <c r="AA131" s="7" t="str">
        <f t="shared" ca="1" si="97"/>
        <v>OK</v>
      </c>
      <c r="AB131" s="7" t="str">
        <f t="shared" ca="1" si="97"/>
        <v>OK</v>
      </c>
      <c r="AC131" s="7" t="str">
        <f t="shared" ca="1" si="97"/>
        <v>OK</v>
      </c>
    </row>
    <row r="133" spans="1:29" ht="15.75" x14ac:dyDescent="0.25">
      <c r="A133" s="1" t="s">
        <v>357</v>
      </c>
    </row>
    <row r="134" spans="1:29" x14ac:dyDescent="0.2">
      <c r="A134" s="31" t="s">
        <v>358</v>
      </c>
    </row>
    <row r="135" spans="1:29" x14ac:dyDescent="0.2">
      <c r="A135" s="3" t="s">
        <v>360</v>
      </c>
      <c r="B135" s="4" t="str">
        <f>$B$46</f>
        <v>From Fiscal Forecasts</v>
      </c>
      <c r="F135" s="21">
        <f>'Fiscal Forecasts'!F$204</f>
        <v>20.98</v>
      </c>
      <c r="G135" s="21">
        <f>'Fiscal Forecasts'!G$204</f>
        <v>23.344999999999999</v>
      </c>
      <c r="H135" s="21">
        <f>'Fiscal Forecasts'!H$204</f>
        <v>22.587</v>
      </c>
      <c r="I135" s="21">
        <f>'Fiscal Forecasts'!I$204</f>
        <v>21.774000000000001</v>
      </c>
      <c r="J135" s="21">
        <f>'Fiscal Forecasts'!J$204</f>
        <v>20.856999999999999</v>
      </c>
      <c r="K135" s="21">
        <f>'Fiscal Forecasts'!K$204</f>
        <v>21.236999999999998</v>
      </c>
      <c r="L135" s="21">
        <f>'Fiscal Forecasts'!L$204</f>
        <v>22.33</v>
      </c>
      <c r="M135" s="21">
        <f>'Fiscal Forecasts'!M$204</f>
        <v>23.738</v>
      </c>
      <c r="N135" s="21">
        <f>'Fiscal Forecasts'!N$204</f>
        <v>25.309000000000001</v>
      </c>
      <c r="O135" s="24">
        <f>'Fiscal Forecasts'!O$204</f>
        <v>26.332999999999998</v>
      </c>
      <c r="P135" s="24">
        <f>'Fiscal Forecasts'!P$204</f>
        <v>27.35</v>
      </c>
      <c r="Q135" s="24">
        <f>'Fiscal Forecasts'!Q$204</f>
        <v>28.616</v>
      </c>
      <c r="R135" s="24">
        <f>'Fiscal Forecasts'!R$204</f>
        <v>30.265000000000001</v>
      </c>
      <c r="S135" s="24">
        <f>'Fiscal Forecasts'!S$204</f>
        <v>31.989000000000001</v>
      </c>
      <c r="T135" s="26">
        <f ca="1">IF(T$4&lt;=OFFSET(Choices!$B$33,0,$C$1),S$135*T$21/S$21*(1+T$143*T$31),(S$135/S$11+MIN(OFFSET(Choices!$B$41,0,$C$1),ABS(OFFSET(Choices!$B$35,0,$C$1)-S$135/S$11))*SIGN(OFFSET(Choices!$B$35,0,$C$1)-S$135/S$11))*T$11)</f>
        <v>33.564446071576526</v>
      </c>
      <c r="U135" s="26">
        <f ca="1">IF(U$4&lt;=OFFSET(Choices!$B$33,0,$C$1),T$135*U$21/T$21*(1+U$143*U$31),(T$135/T$11+MIN(OFFSET(Choices!$B$41,0,$C$1),ABS(OFFSET(Choices!$B$35,0,$C$1)-T$135/T$11))*SIGN(OFFSET(Choices!$B$35,0,$C$1)-T$135/T$11))*U$11)</f>
        <v>35.213966802842798</v>
      </c>
      <c r="V135" s="26">
        <f ca="1">IF(V$4&lt;=OFFSET(Choices!$B$33,0,$C$1),U$135*V$21/U$21*(1+V$143*V$31),(U$135/U$11+MIN(OFFSET(Choices!$B$41,0,$C$1),ABS(OFFSET(Choices!$B$35,0,$C$1)-U$135/U$11))*SIGN(OFFSET(Choices!$B$35,0,$C$1)-U$135/U$11))*V$11)</f>
        <v>36.963579286738238</v>
      </c>
      <c r="W135" s="26">
        <f ca="1">IF(W$4&lt;=OFFSET(Choices!$B$33,0,$C$1),V$135*W$21/V$21*(1+W$143*W$31),(V$135/V$11+MIN(OFFSET(Choices!$B$41,0,$C$1),ABS(OFFSET(Choices!$B$35,0,$C$1)-V$135/V$11))*SIGN(OFFSET(Choices!$B$35,0,$C$1)-V$135/V$11))*W$11)</f>
        <v>38.786999672984635</v>
      </c>
      <c r="X135" s="26">
        <f ca="1">IF(X$4&lt;=OFFSET(Choices!$B$33,0,$C$1),W$135*X$21/W$21*(1+X$143*X$31),(W$135/W$11+MIN(OFFSET(Choices!$B$41,0,$C$1),ABS(OFFSET(Choices!$B$35,0,$C$1)-W$135/W$11))*SIGN(OFFSET(Choices!$B$35,0,$C$1)-W$135/W$11))*X$11)</f>
        <v>40.523989367168184</v>
      </c>
      <c r="Y135" s="26">
        <f ca="1">IF(Y$4&lt;=OFFSET(Choices!$B$33,0,$C$1),X$135*Y$21/X$21*(1+Y$143*Y$31),(X$135/X$11+MIN(OFFSET(Choices!$B$41,0,$C$1),ABS(OFFSET(Choices!$B$35,0,$C$1)-X$135/X$11))*SIGN(OFFSET(Choices!$B$35,0,$C$1)-X$135/X$11))*Y$11)</f>
        <v>42.303128513620173</v>
      </c>
      <c r="Z135" s="26">
        <f ca="1">IF(Z$4&lt;=OFFSET(Choices!$B$33,0,$C$1),Y$135*Z$21/Y$21*(1+Z$143*Z$31),(Y$135/Y$11+MIN(OFFSET(Choices!$B$41,0,$C$1),ABS(OFFSET(Choices!$B$35,0,$C$1)-Y$135/Y$11))*SIGN(OFFSET(Choices!$B$35,0,$C$1)-Y$135/Y$11))*Z$11)</f>
        <v>44.134365312111335</v>
      </c>
      <c r="AA135" s="26">
        <f ca="1">IF(AA$4&lt;=OFFSET(Choices!$B$33,0,$C$1),Z$135*AA$21/Z$21*(1+AA$143*AA$31),(Z$135/Z$11+MIN(OFFSET(Choices!$B$41,0,$C$1),ABS(OFFSET(Choices!$B$35,0,$C$1)-Z$135/Z$11))*SIGN(OFFSET(Choices!$B$35,0,$C$1)-Z$135/Z$11))*AA$11)</f>
        <v>46.018988137173309</v>
      </c>
      <c r="AB135" s="26">
        <f ca="1">IF(AB$4&lt;=OFFSET(Choices!$B$33,0,$C$1),AA$135*AB$21/AA$21*(1+AB$143*AB$31),(AA$135/AA$11+MIN(OFFSET(Choices!$B$41,0,$C$1),ABS(OFFSET(Choices!$B$35,0,$C$1)-AA$135/AA$11))*SIGN(OFFSET(Choices!$B$35,0,$C$1)-AA$135/AA$11))*AB$11)</f>
        <v>47.949719465598648</v>
      </c>
      <c r="AC135" s="26">
        <f ca="1">IF(AC$4&lt;=OFFSET(Choices!$B$33,0,$C$1),AB$135*AC$21/AB$21*(1+AC$143*AC$31),(AB$135/AB$11+MIN(OFFSET(Choices!$B$41,0,$C$1),ABS(OFFSET(Choices!$B$35,0,$C$1)-AB$135/AB$11))*SIGN(OFFSET(Choices!$B$35,0,$C$1)-AB$135/AB$11))*AC$11)</f>
        <v>49.936621714469041</v>
      </c>
    </row>
    <row r="136" spans="1:29" x14ac:dyDescent="0.2">
      <c r="A136" s="3" t="s">
        <v>380</v>
      </c>
      <c r="B136" s="4" t="str">
        <f>$B$46</f>
        <v>From Fiscal Forecasts</v>
      </c>
      <c r="F136" s="21">
        <f>'Fiscal Forecasts'!F$205</f>
        <v>9.891</v>
      </c>
      <c r="G136" s="21">
        <f>'Fiscal Forecasts'!G$205</f>
        <v>10.122</v>
      </c>
      <c r="H136" s="21">
        <f>'Fiscal Forecasts'!H$205</f>
        <v>9.2759999999999998</v>
      </c>
      <c r="I136" s="21">
        <f>'Fiscal Forecasts'!I$205</f>
        <v>7.2</v>
      </c>
      <c r="J136" s="21">
        <f>'Fiscal Forecasts'!J$205</f>
        <v>6.9569999999999999</v>
      </c>
      <c r="K136" s="21">
        <f>'Fiscal Forecasts'!K$205</f>
        <v>8.6120000000000001</v>
      </c>
      <c r="L136" s="21">
        <f>'Fiscal Forecasts'!L$205</f>
        <v>9.0180000000000007</v>
      </c>
      <c r="M136" s="21">
        <f>'Fiscal Forecasts'!M$205</f>
        <v>9.2639999999999993</v>
      </c>
      <c r="N136" s="21">
        <f>'Fiscal Forecasts'!N$205</f>
        <v>10.295999999999999</v>
      </c>
      <c r="O136" s="24">
        <f>'Fiscal Forecasts'!O$205</f>
        <v>10.192</v>
      </c>
      <c r="P136" s="24">
        <f>'Fiscal Forecasts'!P$205</f>
        <v>10.62</v>
      </c>
      <c r="Q136" s="24">
        <f>'Fiscal Forecasts'!Q$205</f>
        <v>11.680999999999999</v>
      </c>
      <c r="R136" s="24">
        <f>'Fiscal Forecasts'!R$205</f>
        <v>12.59</v>
      </c>
      <c r="S136" s="24">
        <f>'Fiscal Forecasts'!S$205</f>
        <v>13.087</v>
      </c>
      <c r="T136" s="26">
        <f ca="1">(S$136/S$11+MIN(OFFSET(Choices!$B$41,0,$C$1),ABS(OFFSET(Choices!$B$36,0,$C$1)-S$136/S$11))*SIGN(OFFSET(Choices!$B$36,0,$C$1)-S$136/S$11))*T$11</f>
        <v>13.513498647304377</v>
      </c>
      <c r="U136" s="26">
        <f ca="1">(T$136/T$11+MIN(OFFSET(Choices!$B$41,0,$C$1),ABS(OFFSET(Choices!$B$36,0,$C$1)-T$136/T$11))*SIGN(OFFSET(Choices!$B$36,0,$C$1)-T$136/T$11))*U$11</f>
        <v>13.950971035893156</v>
      </c>
      <c r="V136" s="26">
        <f ca="1">(U$136/U$11+MIN(OFFSET(Choices!$B$41,0,$C$1),ABS(OFFSET(Choices!$B$36,0,$C$1)-U$136/U$11))*SIGN(OFFSET(Choices!$B$36,0,$C$1)-U$136/U$11))*V$11</f>
        <v>14.408393165437301</v>
      </c>
      <c r="W136" s="26">
        <f ca="1">(V$136/V$11+MIN(OFFSET(Choices!$B$41,0,$C$1),ABS(OFFSET(Choices!$B$36,0,$C$1)-V$136/V$11))*SIGN(OFFSET(Choices!$B$36,0,$C$1)-V$136/V$11))*W$11</f>
        <v>14.874048196348218</v>
      </c>
      <c r="X136" s="26">
        <f ca="1">(W$136/W$11+MIN(OFFSET(Choices!$B$41,0,$C$1),ABS(OFFSET(Choices!$B$36,0,$C$1)-W$136/W$11))*SIGN(OFFSET(Choices!$B$36,0,$C$1)-W$136/W$11))*X$11</f>
        <v>15.472795940191489</v>
      </c>
      <c r="Y136" s="26">
        <f ca="1">(X$136/X$11+MIN(OFFSET(Choices!$B$41,0,$C$1),ABS(OFFSET(Choices!$B$36,0,$C$1)-X$136/X$11))*SIGN(OFFSET(Choices!$B$36,0,$C$1)-X$136/X$11))*Y$11</f>
        <v>16.152103614291342</v>
      </c>
      <c r="Z136" s="26">
        <f ca="1">(Y$136/Y$11+MIN(OFFSET(Choices!$B$41,0,$C$1),ABS(OFFSET(Choices!$B$36,0,$C$1)-Y$136/Y$11))*SIGN(OFFSET(Choices!$B$36,0,$C$1)-Y$136/Y$11))*Z$11</f>
        <v>16.851303119169785</v>
      </c>
      <c r="AA136" s="26">
        <f ca="1">(Z$136/Z$11+MIN(OFFSET(Choices!$B$41,0,$C$1),ABS(OFFSET(Choices!$B$36,0,$C$1)-Z$136/Z$11))*SIGN(OFFSET(Choices!$B$36,0,$C$1)-Z$136/Z$11))*AA$11</f>
        <v>17.570886379647991</v>
      </c>
      <c r="AB136" s="26">
        <f ca="1">(AA$136/AA$11+MIN(OFFSET(Choices!$B$41,0,$C$1),ABS(OFFSET(Choices!$B$36,0,$C$1)-AA$136/AA$11))*SIGN(OFFSET(Choices!$B$36,0,$C$1)-AA$136/AA$11))*AB$11</f>
        <v>18.30807470504676</v>
      </c>
      <c r="AC136" s="26">
        <f ca="1">(AB$136/AB$11+MIN(OFFSET(Choices!$B$41,0,$C$1),ABS(OFFSET(Choices!$B$36,0,$C$1)-AB$136/AB$11))*SIGN(OFFSET(Choices!$B$36,0,$C$1)-AB$136/AB$11))*AC$11</f>
        <v>19.066710109160908</v>
      </c>
    </row>
    <row r="137" spans="1:29" x14ac:dyDescent="0.2">
      <c r="A137" s="3" t="s">
        <v>383</v>
      </c>
      <c r="B137" s="4" t="str">
        <f>$B$46</f>
        <v>From Fiscal Forecasts</v>
      </c>
      <c r="F137" s="21">
        <f>'Fiscal Forecasts'!F$206</f>
        <v>11.215</v>
      </c>
      <c r="G137" s="21">
        <f>'Fiscal Forecasts'!G$206</f>
        <v>11.115</v>
      </c>
      <c r="H137" s="21">
        <f>'Fiscal Forecasts'!H$206</f>
        <v>11.551</v>
      </c>
      <c r="I137" s="21">
        <f>'Fiscal Forecasts'!I$206</f>
        <v>11.917</v>
      </c>
      <c r="J137" s="21">
        <f>'Fiscal Forecasts'!J$206</f>
        <v>13.708</v>
      </c>
      <c r="K137" s="21">
        <f>'Fiscal Forecasts'!K$206</f>
        <v>14.571999999999999</v>
      </c>
      <c r="L137" s="21">
        <f>'Fiscal Forecasts'!L$206</f>
        <v>15.205</v>
      </c>
      <c r="M137" s="21">
        <f>'Fiscal Forecasts'!M$206</f>
        <v>16.016999999999999</v>
      </c>
      <c r="N137" s="21">
        <f>'Fiscal Forecasts'!N$206</f>
        <v>17.169</v>
      </c>
      <c r="O137" s="24">
        <f>'Fiscal Forecasts'!O$206</f>
        <v>18.015999999999998</v>
      </c>
      <c r="P137" s="24">
        <f>'Fiscal Forecasts'!P$206</f>
        <v>18.884</v>
      </c>
      <c r="Q137" s="24">
        <f>'Fiscal Forecasts'!Q$206</f>
        <v>19.824000000000002</v>
      </c>
      <c r="R137" s="24">
        <f>'Fiscal Forecasts'!R$206</f>
        <v>20.908999999999999</v>
      </c>
      <c r="S137" s="24">
        <f>'Fiscal Forecasts'!S$206</f>
        <v>21.798999999999999</v>
      </c>
      <c r="T137" s="26">
        <f ca="1">(S$137/S$11+MIN(OFFSET(Choices!$B$41,0,$C$1),ABS(OFFSET(Choices!$B$37,0,$C$1)-S$137/S$11))*SIGN(OFFSET(Choices!$B$37,0,$C$1)-S$137/S$11))*T$11</f>
        <v>22.900000698711654</v>
      </c>
      <c r="U137" s="26">
        <f ca="1">(T$137/T$11+MIN(OFFSET(Choices!$B$41,0,$C$1),ABS(OFFSET(Choices!$B$37,0,$C$1)-T$137/T$11))*SIGN(OFFSET(Choices!$B$37,0,$C$1)-T$137/T$11))*U$11</f>
        <v>23.915171267186359</v>
      </c>
      <c r="V137" s="26">
        <f ca="1">(U$137/U$11+MIN(OFFSET(Choices!$B$41,0,$C$1),ABS(OFFSET(Choices!$B$37,0,$C$1)-U$137/U$11))*SIGN(OFFSET(Choices!$B$37,0,$C$1)-U$137/U$11))*V$11</f>
        <v>24.988733303329738</v>
      </c>
      <c r="W137" s="26">
        <f ca="1">(V$137/V$11+MIN(OFFSET(Choices!$B$41,0,$C$1),ABS(OFFSET(Choices!$B$37,0,$C$1)-V$137/V$11))*SIGN(OFFSET(Choices!$B$37,0,$C$1)-V$137/V$11))*W$11</f>
        <v>26.102202231621394</v>
      </c>
      <c r="X137" s="26">
        <f ca="1">(W$137/W$11+MIN(OFFSET(Choices!$B$41,0,$C$1),ABS(OFFSET(Choices!$B$37,0,$C$1)-W$137/W$11))*SIGN(OFFSET(Choices!$B$37,0,$C$1)-W$137/W$11))*X$11</f>
        <v>27.261592847004049</v>
      </c>
      <c r="Y137" s="26">
        <f ca="1">(X$137/X$11+MIN(OFFSET(Choices!$B$41,0,$C$1),ABS(OFFSET(Choices!$B$37,0,$C$1)-X$137/X$11))*SIGN(OFFSET(Choices!$B$37,0,$C$1)-X$137/X$11))*Y$11</f>
        <v>28.458468272799028</v>
      </c>
      <c r="Z137" s="26">
        <f ca="1">(Y$137/Y$11+MIN(OFFSET(Choices!$B$41,0,$C$1),ABS(OFFSET(Choices!$B$37,0,$C$1)-Y$137/Y$11))*SIGN(OFFSET(Choices!$B$37,0,$C$1)-Y$137/Y$11))*Z$11</f>
        <v>29.690391209965806</v>
      </c>
      <c r="AA137" s="26">
        <f ca="1">(Z$137/Z$11+MIN(OFFSET(Choices!$B$41,0,$C$1),ABS(OFFSET(Choices!$B$37,0,$C$1)-Z$137/Z$11))*SIGN(OFFSET(Choices!$B$37,0,$C$1)-Z$137/Z$11))*AA$11</f>
        <v>30.958228383189315</v>
      </c>
      <c r="AB137" s="26">
        <f ca="1">(AA$137/AA$11+MIN(OFFSET(Choices!$B$41,0,$C$1),ABS(OFFSET(Choices!$B$37,0,$C$1)-AA$137/AA$11))*SIGN(OFFSET(Choices!$B$37,0,$C$1)-AA$137/AA$11))*AB$11</f>
        <v>32.25708400413</v>
      </c>
      <c r="AC137" s="26">
        <f ca="1">(AB$137/AB$11+MIN(OFFSET(Choices!$B$41,0,$C$1),ABS(OFFSET(Choices!$B$37,0,$C$1)-AB$137/AB$11))*SIGN(OFFSET(Choices!$B$37,0,$C$1)-AB$137/AB$11))*AC$11</f>
        <v>33.593727335188262</v>
      </c>
    </row>
    <row r="138" spans="1:29" x14ac:dyDescent="0.2">
      <c r="A138" s="3" t="s">
        <v>387</v>
      </c>
      <c r="B138" s="4" t="str">
        <f>$B$46</f>
        <v>From Fiscal Forecasts</v>
      </c>
      <c r="F138" s="21">
        <f>'Fiscal Forecasts'!F$207</f>
        <v>2.3879999999999999</v>
      </c>
      <c r="G138" s="21">
        <f>'Fiscal Forecasts'!G$207</f>
        <v>2.4239999999999999</v>
      </c>
      <c r="H138" s="21">
        <f>'Fiscal Forecasts'!H$207</f>
        <v>2.3339999999999996</v>
      </c>
      <c r="I138" s="21">
        <f>'Fiscal Forecasts'!I$207</f>
        <v>2.508</v>
      </c>
      <c r="J138" s="21">
        <f>'Fiscal Forecasts'!J$207</f>
        <v>2.6349999999999998</v>
      </c>
      <c r="K138" s="21">
        <f>'Fiscal Forecasts'!K$207</f>
        <v>2.6980000000000004</v>
      </c>
      <c r="L138" s="21">
        <f>'Fiscal Forecasts'!L$207</f>
        <v>2.7689999999999997</v>
      </c>
      <c r="M138" s="21">
        <f>'Fiscal Forecasts'!M$207</f>
        <v>3.004</v>
      </c>
      <c r="N138" s="21">
        <f>'Fiscal Forecasts'!N$207</f>
        <v>3.2029999999999998</v>
      </c>
      <c r="O138" s="24">
        <f>'Fiscal Forecasts'!O$207</f>
        <v>3.3420000000000001</v>
      </c>
      <c r="P138" s="24">
        <f>'Fiscal Forecasts'!P$207</f>
        <v>3.4289999999999998</v>
      </c>
      <c r="Q138" s="24">
        <f>'Fiscal Forecasts'!Q$207</f>
        <v>3.552</v>
      </c>
      <c r="R138" s="24">
        <f>'Fiscal Forecasts'!R$207</f>
        <v>3.6749999999999998</v>
      </c>
      <c r="S138" s="24">
        <f>'Fiscal Forecasts'!S$207</f>
        <v>3.79</v>
      </c>
      <c r="T138" s="26">
        <f ca="1">(S$138/S$11+MIN(OFFSET(Choices!$B$41,0,$C$1),ABS(OFFSET(Choices!$B$38,0,$C$1)-S$138/S$11))*SIGN(OFFSET(Choices!$B$38,0,$C$1)-S$138/S$11))*T$11</f>
        <v>4.0229730957196148</v>
      </c>
      <c r="U138" s="26">
        <f ca="1">(T$138/T$11+MIN(OFFSET(Choices!$B$41,0,$C$1),ABS(OFFSET(Choices!$B$38,0,$C$1)-T$138/T$11))*SIGN(OFFSET(Choices!$B$38,0,$C$1)-T$138/T$11))*U$11</f>
        <v>4.2013138712624682</v>
      </c>
      <c r="V138" s="26">
        <f ca="1">(U$138/U$11+MIN(OFFSET(Choices!$B$41,0,$C$1),ABS(OFFSET(Choices!$B$38,0,$C$1)-U$138/U$11))*SIGN(OFFSET(Choices!$B$38,0,$C$1)-U$138/U$11))*V$11</f>
        <v>4.389912607341711</v>
      </c>
      <c r="W138" s="26">
        <f ca="1">(V$138/V$11+MIN(OFFSET(Choices!$B$41,0,$C$1),ABS(OFFSET(Choices!$B$38,0,$C$1)-V$138/V$11))*SIGN(OFFSET(Choices!$B$38,0,$C$1)-V$138/V$11))*W$11</f>
        <v>4.5855220136632173</v>
      </c>
      <c r="X138" s="26">
        <f ca="1">(W$138/W$11+MIN(OFFSET(Choices!$B$41,0,$C$1),ABS(OFFSET(Choices!$B$38,0,$C$1)-W$138/W$11))*SIGN(OFFSET(Choices!$B$38,0,$C$1)-W$138/W$11))*X$11</f>
        <v>4.7891987433926033</v>
      </c>
      <c r="Y138" s="26">
        <f ca="1">(X$138/X$11+MIN(OFFSET(Choices!$B$41,0,$C$1),ABS(OFFSET(Choices!$B$38,0,$C$1)-X$138/X$11))*SIGN(OFFSET(Choices!$B$38,0,$C$1)-X$138/X$11))*Y$11</f>
        <v>4.9994606425187476</v>
      </c>
      <c r="Z138" s="26">
        <f ca="1">(Y$138/Y$11+MIN(OFFSET(Choices!$B$41,0,$C$1),ABS(OFFSET(Choices!$B$38,0,$C$1)-Y$138/Y$11))*SIGN(OFFSET(Choices!$B$38,0,$C$1)-Y$138/Y$11))*Z$11</f>
        <v>5.2158795368858852</v>
      </c>
      <c r="AA138" s="26">
        <f ca="1">(Z$138/Z$11+MIN(OFFSET(Choices!$B$41,0,$C$1),ABS(OFFSET(Choices!$B$38,0,$C$1)-Z$138/Z$11))*SIGN(OFFSET(Choices!$B$38,0,$C$1)-Z$138/Z$11))*AA$11</f>
        <v>5.4386076889386636</v>
      </c>
      <c r="AB138" s="26">
        <f ca="1">(AA$138/AA$11+MIN(OFFSET(Choices!$B$41,0,$C$1),ABS(OFFSET(Choices!$B$38,0,$C$1)-AA$138/AA$11))*SIGN(OFFSET(Choices!$B$38,0,$C$1)-AA$138/AA$11))*AB$11</f>
        <v>5.6667850277525673</v>
      </c>
      <c r="AC138" s="26">
        <f ca="1">(AB$138/AB$11+MIN(OFFSET(Choices!$B$41,0,$C$1),ABS(OFFSET(Choices!$B$38,0,$C$1)-AB$138/AB$11))*SIGN(OFFSET(Choices!$B$38,0,$C$1)-AB$138/AB$11))*AC$11</f>
        <v>5.9016007480736139</v>
      </c>
    </row>
    <row r="139" spans="1:29" x14ac:dyDescent="0.2">
      <c r="A139" s="3" t="s">
        <v>391</v>
      </c>
      <c r="B139" s="4" t="str">
        <f>$B$46</f>
        <v>From Fiscal Forecasts</v>
      </c>
      <c r="F139" s="21">
        <f>'Fiscal Forecasts'!F$208</f>
        <v>8.59</v>
      </c>
      <c r="G139" s="21">
        <f>'Fiscal Forecasts'!G$208</f>
        <v>9.3659999999999997</v>
      </c>
      <c r="H139" s="21">
        <f>'Fiscal Forecasts'!H$208</f>
        <v>8.3970000000000002</v>
      </c>
      <c r="I139" s="21">
        <f>'Fiscal Forecasts'!I$208</f>
        <v>6.9480000000000004</v>
      </c>
      <c r="J139" s="21">
        <f>'Fiscal Forecasts'!J$208</f>
        <v>6.9710000000000001</v>
      </c>
      <c r="K139" s="21">
        <f>'Fiscal Forecasts'!K$208</f>
        <v>7.5460000000000003</v>
      </c>
      <c r="L139" s="21">
        <f>'Fiscal Forecasts'!L$208</f>
        <v>8.8119999999999994</v>
      </c>
      <c r="M139" s="21">
        <f>'Fiscal Forecasts'!M$208</f>
        <v>8.9450000000000003</v>
      </c>
      <c r="N139" s="21">
        <f>'Fiscal Forecasts'!N$208</f>
        <v>10.078000000000001</v>
      </c>
      <c r="O139" s="24">
        <f>'Fiscal Forecasts'!O$208</f>
        <v>9.7649999999999988</v>
      </c>
      <c r="P139" s="24">
        <f>'Fiscal Forecasts'!P$208</f>
        <v>9.9429999999999996</v>
      </c>
      <c r="Q139" s="24">
        <f>'Fiscal Forecasts'!Q$208</f>
        <v>10.678000000000001</v>
      </c>
      <c r="R139" s="24">
        <f>'Fiscal Forecasts'!R$208</f>
        <v>11.695</v>
      </c>
      <c r="S139" s="24">
        <f>'Fiscal Forecasts'!S$208</f>
        <v>12.475999999999999</v>
      </c>
      <c r="T139" s="26">
        <f ca="1">(S$139/S$11+MIN(OFFSET(Choices!$B$41,0,$C$1),ABS(OFFSET(Choices!$B$39,0,$C$1)-S$139/S$11))*SIGN(OFFSET(Choices!$B$39,0,$C$1)-S$139/S$11))*T$11</f>
        <v>13.184821985598996</v>
      </c>
      <c r="U139" s="26">
        <f ca="1">(T$139/T$11+MIN(OFFSET(Choices!$B$41,0,$C$1),ABS(OFFSET(Choices!$B$39,0,$C$1)-T$139/T$11))*SIGN(OFFSET(Choices!$B$39,0,$C$1)-T$139/T$11))*U$11</f>
        <v>13.930901933571906</v>
      </c>
      <c r="V139" s="26">
        <f ca="1">(U$139/U$11+MIN(OFFSET(Choices!$B$41,0,$C$1),ABS(OFFSET(Choices!$B$39,0,$C$1)-U$139/U$11))*SIGN(OFFSET(Choices!$B$39,0,$C$1)-U$139/U$11))*V$11</f>
        <v>14.725108737902907</v>
      </c>
      <c r="W139" s="26">
        <f ca="1">(V$139/V$11+MIN(OFFSET(Choices!$B$41,0,$C$1),ABS(OFFSET(Choices!$B$39,0,$C$1)-V$139/V$11))*SIGN(OFFSET(Choices!$B$39,0,$C$1)-V$139/V$11))*W$11</f>
        <v>15.520228353937044</v>
      </c>
      <c r="X139" s="26">
        <f ca="1">(W$139/W$11+MIN(OFFSET(Choices!$B$41,0,$C$1),ABS(OFFSET(Choices!$B$39,0,$C$1)-W$139/W$11))*SIGN(OFFSET(Choices!$B$39,0,$C$1)-W$139/W$11))*X$11</f>
        <v>16.209595746867272</v>
      </c>
      <c r="Y139" s="26">
        <f ca="1">(X$139/X$11+MIN(OFFSET(Choices!$B$41,0,$C$1),ABS(OFFSET(Choices!$B$39,0,$C$1)-X$139/X$11))*SIGN(OFFSET(Choices!$B$39,0,$C$1)-X$139/X$11))*Y$11</f>
        <v>16.921251405448068</v>
      </c>
      <c r="Z139" s="26">
        <f ca="1">(Y$139/Y$11+MIN(OFFSET(Choices!$B$41,0,$C$1),ABS(OFFSET(Choices!$B$39,0,$C$1)-Y$139/Y$11))*SIGN(OFFSET(Choices!$B$39,0,$C$1)-Y$139/Y$11))*Z$11</f>
        <v>17.653746124844535</v>
      </c>
      <c r="AA139" s="26">
        <f ca="1">(Z$139/Z$11+MIN(OFFSET(Choices!$B$41,0,$C$1),ABS(OFFSET(Choices!$B$39,0,$C$1)-Z$139/Z$11))*SIGN(OFFSET(Choices!$B$39,0,$C$1)-Z$139/Z$11))*AA$11</f>
        <v>18.407595254869321</v>
      </c>
      <c r="AB139" s="26">
        <f ca="1">(AA$139/AA$11+MIN(OFFSET(Choices!$B$41,0,$C$1),ABS(OFFSET(Choices!$B$39,0,$C$1)-AA$139/AA$11))*SIGN(OFFSET(Choices!$B$39,0,$C$1)-AA$139/AA$11))*AB$11</f>
        <v>19.179887786239458</v>
      </c>
      <c r="AC139" s="26">
        <f ca="1">(AB$139/AB$11+MIN(OFFSET(Choices!$B$41,0,$C$1),ABS(OFFSET(Choices!$B$39,0,$C$1)-AB$139/AB$11))*SIGN(OFFSET(Choices!$B$39,0,$C$1)-AB$139/AB$11))*AC$11</f>
        <v>19.974648685787617</v>
      </c>
    </row>
    <row r="140" spans="1:29" x14ac:dyDescent="0.2">
      <c r="A140" s="31" t="s">
        <v>392</v>
      </c>
      <c r="B140" s="4"/>
      <c r="F140" s="56">
        <f>SUM(F$135:F$139)</f>
        <v>53.063999999999993</v>
      </c>
      <c r="G140" s="56">
        <f t="shared" ref="G140:AC140" si="98">SUM(G$135:G$139)</f>
        <v>56.372</v>
      </c>
      <c r="H140" s="56">
        <f t="shared" si="98"/>
        <v>54.145000000000003</v>
      </c>
      <c r="I140" s="56">
        <f t="shared" si="98"/>
        <v>50.347000000000001</v>
      </c>
      <c r="J140" s="56">
        <f t="shared" si="98"/>
        <v>51.128</v>
      </c>
      <c r="K140" s="56">
        <f t="shared" si="98"/>
        <v>54.664999999999992</v>
      </c>
      <c r="L140" s="56">
        <f t="shared" si="98"/>
        <v>58.133999999999993</v>
      </c>
      <c r="M140" s="56">
        <f t="shared" si="98"/>
        <v>60.967999999999989</v>
      </c>
      <c r="N140" s="56">
        <f t="shared" si="98"/>
        <v>66.055000000000007</v>
      </c>
      <c r="O140" s="57">
        <f t="shared" si="98"/>
        <v>67.647999999999996</v>
      </c>
      <c r="P140" s="57">
        <f t="shared" si="98"/>
        <v>70.225999999999999</v>
      </c>
      <c r="Q140" s="57">
        <f t="shared" si="98"/>
        <v>74.350999999999999</v>
      </c>
      <c r="R140" s="57">
        <f t="shared" si="98"/>
        <v>79.134000000000015</v>
      </c>
      <c r="S140" s="57">
        <f t="shared" si="98"/>
        <v>83.141000000000005</v>
      </c>
      <c r="T140" s="58">
        <f t="shared" ca="1" si="98"/>
        <v>87.185740498911173</v>
      </c>
      <c r="U140" s="58">
        <f t="shared" ca="1" si="98"/>
        <v>91.212324910756678</v>
      </c>
      <c r="V140" s="58">
        <f t="shared" ca="1" si="98"/>
        <v>95.475727100749907</v>
      </c>
      <c r="W140" s="58">
        <f t="shared" ca="1" si="98"/>
        <v>99.869000468554518</v>
      </c>
      <c r="X140" s="58">
        <f t="shared" ca="1" si="98"/>
        <v>104.25717264462361</v>
      </c>
      <c r="Y140" s="58">
        <f t="shared" ca="1" si="98"/>
        <v>108.83441244867734</v>
      </c>
      <c r="Z140" s="58">
        <f t="shared" ca="1" si="98"/>
        <v>113.54568530297733</v>
      </c>
      <c r="AA140" s="58">
        <f t="shared" ca="1" si="98"/>
        <v>118.39430584381859</v>
      </c>
      <c r="AB140" s="58">
        <f t="shared" ca="1" si="98"/>
        <v>123.36155098876745</v>
      </c>
      <c r="AC140" s="58">
        <f t="shared" ca="1" si="98"/>
        <v>128.47330859267944</v>
      </c>
    </row>
    <row r="141" spans="1:29" x14ac:dyDescent="0.2">
      <c r="A141" s="3" t="s">
        <v>828</v>
      </c>
      <c r="B141" s="4" t="str">
        <f>$B$46</f>
        <v>From Fiscal Forecasts</v>
      </c>
      <c r="F141" s="21">
        <f>F$140-'Fiscal Forecasts'!F$163</f>
        <v>-0.41300000000000381</v>
      </c>
      <c r="G141" s="21">
        <f>G$140-'Fiscal Forecasts'!G$163</f>
        <v>-0.375</v>
      </c>
      <c r="H141" s="21">
        <f>H$140-'Fiscal Forecasts'!H$163</f>
        <v>-0.53599999999999426</v>
      </c>
      <c r="I141" s="21">
        <f>I$140-'Fiscal Forecasts'!I$163</f>
        <v>-0.39699999999999847</v>
      </c>
      <c r="J141" s="21">
        <f>J$140-'Fiscal Forecasts'!J$163</f>
        <v>-0.42900000000000205</v>
      </c>
      <c r="K141" s="21">
        <f>K$140-'Fiscal Forecasts'!K$163</f>
        <v>-0.41600000000001103</v>
      </c>
      <c r="L141" s="21">
        <f>L$140-'Fiscal Forecasts'!L$163</f>
        <v>-0.51700000000001012</v>
      </c>
      <c r="M141" s="21">
        <f>M$140-'Fiscal Forecasts'!M$163</f>
        <v>-0.59500000000001307</v>
      </c>
      <c r="N141" s="21">
        <f>N$140-'Fiscal Forecasts'!N$163</f>
        <v>-0.58099999999998886</v>
      </c>
      <c r="O141" s="24">
        <f>O$140-'Fiscal Forecasts'!O$163</f>
        <v>-0.76600000000000534</v>
      </c>
      <c r="P141" s="24">
        <f>P$140-'Fiscal Forecasts'!P$163</f>
        <v>-0.77899999999999636</v>
      </c>
      <c r="Q141" s="24">
        <f>Q$140-'Fiscal Forecasts'!Q$163</f>
        <v>-0.77700000000000102</v>
      </c>
      <c r="R141" s="24">
        <f>R$140-'Fiscal Forecasts'!R$163</f>
        <v>-0.79599999999999227</v>
      </c>
      <c r="S141" s="24">
        <f>S$140-'Fiscal Forecasts'!S$163</f>
        <v>-0.87999999999999545</v>
      </c>
      <c r="T141" s="26">
        <f ca="1">(S$141/S$11+MIN(OFFSET(Choices!$B$41,0,$C$1),ABS(OFFSET(Choices!$B$40,0,$C$1)-S$141/S$11))*SIGN(OFFSET(Choices!$B$40,0,$C$1)-S$141/S$11))*T$11</f>
        <v>-0.92837840670452654</v>
      </c>
      <c r="U141" s="26">
        <f ca="1">(T$141/T$11+MIN(OFFSET(Choices!$B$41,0,$C$1),ABS(OFFSET(Choices!$B$40,0,$C$1)-T$141/T$11))*SIGN(OFFSET(Choices!$B$40,0,$C$1)-T$141/T$11))*U$11</f>
        <v>-0.96953397029133892</v>
      </c>
      <c r="V141" s="26">
        <f ca="1">(U$141/U$11+MIN(OFFSET(Choices!$B$41,0,$C$1),ABS(OFFSET(Choices!$B$40,0,$C$1)-U$141/U$11))*SIGN(OFFSET(Choices!$B$40,0,$C$1)-U$141/U$11))*V$11</f>
        <v>-1.0130567555403949</v>
      </c>
      <c r="W141" s="26">
        <f ca="1">(V$141/V$11+MIN(OFFSET(Choices!$B$41,0,$C$1),ABS(OFFSET(Choices!$B$40,0,$C$1)-V$141/V$11))*SIGN(OFFSET(Choices!$B$40,0,$C$1)-V$141/V$11))*W$11</f>
        <v>-1.058197387768435</v>
      </c>
      <c r="X141" s="26">
        <f ca="1">(W$141/W$11+MIN(OFFSET(Choices!$B$41,0,$C$1),ABS(OFFSET(Choices!$B$40,0,$C$1)-W$141/W$11))*SIGN(OFFSET(Choices!$B$40,0,$C$1)-W$141/W$11))*X$11</f>
        <v>-1.1051997100136777</v>
      </c>
      <c r="Y141" s="26">
        <f ca="1">(X$141/X$11+MIN(OFFSET(Choices!$B$41,0,$C$1),ABS(OFFSET(Choices!$B$40,0,$C$1)-X$141/X$11))*SIGN(OFFSET(Choices!$B$40,0,$C$1)-X$141/X$11))*Y$11</f>
        <v>-1.1537216867350957</v>
      </c>
      <c r="Z141" s="26">
        <f ca="1">(Y$141/Y$11+MIN(OFFSET(Choices!$B$41,0,$C$1),ABS(OFFSET(Choices!$B$40,0,$C$1)-Y$141/Y$11))*SIGN(OFFSET(Choices!$B$40,0,$C$1)-Y$141/Y$11))*Z$11</f>
        <v>-1.2036645085121274</v>
      </c>
      <c r="AA141" s="26">
        <f ca="1">(Z$141/Z$11+MIN(OFFSET(Choices!$B$41,0,$C$1),ABS(OFFSET(Choices!$B$40,0,$C$1)-Z$141/Z$11))*SIGN(OFFSET(Choices!$B$40,0,$C$1)-Z$141/Z$11))*AA$11</f>
        <v>-1.2550633128319992</v>
      </c>
      <c r="AB141" s="26">
        <f ca="1">(AA$141/AA$11+MIN(OFFSET(Choices!$B$41,0,$C$1),ABS(OFFSET(Choices!$B$40,0,$C$1)-AA$141/AA$11))*SIGN(OFFSET(Choices!$B$40,0,$C$1)-AA$141/AA$11))*AB$11</f>
        <v>-1.3077196217890541</v>
      </c>
      <c r="AC141" s="26">
        <f ca="1">(AB$141/AB$11+MIN(OFFSET(Choices!$B$41,0,$C$1),ABS(OFFSET(Choices!$B$40,0,$C$1)-AB$141/AB$11))*SIGN(OFFSET(Choices!$B$40,0,$C$1)-AB$141/AB$11))*AC$11</f>
        <v>-1.3619078649400649</v>
      </c>
    </row>
    <row r="142" spans="1:29" x14ac:dyDescent="0.2">
      <c r="A142" s="31" t="s">
        <v>397</v>
      </c>
      <c r="F142" s="56">
        <f>F$140-F$141</f>
        <v>53.476999999999997</v>
      </c>
      <c r="G142" s="56">
        <f t="shared" ref="G142:AC142" si="99">G$140-G$141</f>
        <v>56.747</v>
      </c>
      <c r="H142" s="56">
        <f t="shared" si="99"/>
        <v>54.680999999999997</v>
      </c>
      <c r="I142" s="56">
        <f t="shared" si="99"/>
        <v>50.744</v>
      </c>
      <c r="J142" s="56">
        <f t="shared" si="99"/>
        <v>51.557000000000002</v>
      </c>
      <c r="K142" s="56">
        <f t="shared" si="99"/>
        <v>55.081000000000003</v>
      </c>
      <c r="L142" s="56">
        <f t="shared" si="99"/>
        <v>58.651000000000003</v>
      </c>
      <c r="M142" s="56">
        <f t="shared" si="99"/>
        <v>61.563000000000002</v>
      </c>
      <c r="N142" s="56">
        <f t="shared" si="99"/>
        <v>66.635999999999996</v>
      </c>
      <c r="O142" s="57">
        <f t="shared" si="99"/>
        <v>68.414000000000001</v>
      </c>
      <c r="P142" s="57">
        <f t="shared" si="99"/>
        <v>71.004999999999995</v>
      </c>
      <c r="Q142" s="57">
        <f t="shared" si="99"/>
        <v>75.128</v>
      </c>
      <c r="R142" s="57">
        <f t="shared" si="99"/>
        <v>79.930000000000007</v>
      </c>
      <c r="S142" s="57">
        <f t="shared" si="99"/>
        <v>84.021000000000001</v>
      </c>
      <c r="T142" s="58">
        <f t="shared" ca="1" si="99"/>
        <v>88.114118905615697</v>
      </c>
      <c r="U142" s="58">
        <f t="shared" ca="1" si="99"/>
        <v>92.181858881048015</v>
      </c>
      <c r="V142" s="58">
        <f t="shared" ca="1" si="99"/>
        <v>96.488783856290297</v>
      </c>
      <c r="W142" s="58">
        <f t="shared" ca="1" si="99"/>
        <v>100.92719785632295</v>
      </c>
      <c r="X142" s="58">
        <f t="shared" ca="1" si="99"/>
        <v>105.36237235463729</v>
      </c>
      <c r="Y142" s="58">
        <f t="shared" ca="1" si="99"/>
        <v>109.98813413541244</v>
      </c>
      <c r="Z142" s="58">
        <f t="shared" ca="1" si="99"/>
        <v>114.74934981148947</v>
      </c>
      <c r="AA142" s="58">
        <f t="shared" ca="1" si="99"/>
        <v>119.64936915665058</v>
      </c>
      <c r="AB142" s="58">
        <f t="shared" ca="1" si="99"/>
        <v>124.6692706105565</v>
      </c>
      <c r="AC142" s="58">
        <f t="shared" ca="1" si="99"/>
        <v>129.83521645761951</v>
      </c>
    </row>
    <row r="143" spans="1:29" x14ac:dyDescent="0.2">
      <c r="A143" s="4" t="s">
        <v>378</v>
      </c>
      <c r="G143" s="40">
        <f t="shared" ref="G143:S143" si="100">(G$135/(F$135*G$21/F$21)-1)/G$31</f>
        <v>2.1330092784494963</v>
      </c>
      <c r="H143" s="40">
        <f t="shared" si="100"/>
        <v>-0.57139425407691957</v>
      </c>
      <c r="I143" s="40">
        <f t="shared" si="100"/>
        <v>-1.0507154081104482</v>
      </c>
      <c r="J143" s="40">
        <f t="shared" si="100"/>
        <v>-2.6211604777890876</v>
      </c>
      <c r="K143" s="40">
        <f t="shared" si="100"/>
        <v>0.30801720079118344</v>
      </c>
      <c r="L143" s="40">
        <f t="shared" si="100"/>
        <v>2.0544635666420965</v>
      </c>
      <c r="M143" s="40">
        <f t="shared" si="100"/>
        <v>1.156793734923909</v>
      </c>
      <c r="N143" s="40">
        <f t="shared" si="100"/>
        <v>1.3419056790006609</v>
      </c>
      <c r="O143" s="41">
        <f t="shared" si="100"/>
        <v>1.5252756727181727</v>
      </c>
      <c r="P143" s="41">
        <f t="shared" si="100"/>
        <v>1.1910472504728216</v>
      </c>
      <c r="Q143" s="41">
        <f t="shared" si="100"/>
        <v>1.1686199227001517</v>
      </c>
      <c r="R143" s="41">
        <f t="shared" si="100"/>
        <v>1.2413304734310751</v>
      </c>
      <c r="S143" s="41">
        <f t="shared" si="100"/>
        <v>1.3191091230620933</v>
      </c>
      <c r="T143" s="50">
        <f ca="1">OFFSET(Choices!$B$34,0,$C$1)</f>
        <v>1.35</v>
      </c>
      <c r="U143" s="50">
        <f ca="1">OFFSET(Choices!$B$34,0,$C$1)</f>
        <v>1.35</v>
      </c>
      <c r="V143" s="50">
        <f ca="1">OFFSET(Choices!$B$34,0,$C$1)</f>
        <v>1.35</v>
      </c>
      <c r="W143" s="50">
        <f ca="1">OFFSET(Choices!$B$34,0,$C$1)</f>
        <v>1.35</v>
      </c>
      <c r="X143" s="50">
        <f ca="1">OFFSET(Choices!$B$34,0,$C$1)</f>
        <v>1.35</v>
      </c>
      <c r="Y143" s="50">
        <f ca="1">OFFSET(Choices!$B$34,0,$C$1)</f>
        <v>1.35</v>
      </c>
      <c r="Z143" s="50">
        <f ca="1">OFFSET(Choices!$B$34,0,$C$1)</f>
        <v>1.35</v>
      </c>
      <c r="AA143" s="50">
        <f ca="1">OFFSET(Choices!$B$34,0,$C$1)</f>
        <v>1.35</v>
      </c>
      <c r="AB143" s="50">
        <f ca="1">OFFSET(Choices!$B$34,0,$C$1)</f>
        <v>1.35</v>
      </c>
      <c r="AC143" s="50">
        <f ca="1">OFFSET(Choices!$B$34,0,$C$1)</f>
        <v>1.35</v>
      </c>
    </row>
    <row r="145" spans="1:29" x14ac:dyDescent="0.2">
      <c r="A145" s="31" t="s">
        <v>224</v>
      </c>
    </row>
    <row r="146" spans="1:29" x14ac:dyDescent="0.2">
      <c r="A146" s="3" t="s">
        <v>399</v>
      </c>
      <c r="B146" s="4" t="str">
        <f>$B$46</f>
        <v>From Fiscal Forecasts</v>
      </c>
      <c r="F146" s="21">
        <f>'Fiscal Forecasts'!F$213</f>
        <v>0.24199999999999999</v>
      </c>
      <c r="G146" s="21">
        <f>'Fiscal Forecasts'!G$213</f>
        <v>0.308</v>
      </c>
      <c r="H146" s="21">
        <f>'Fiscal Forecasts'!H$213</f>
        <v>0.375</v>
      </c>
      <c r="I146" s="21">
        <f>'Fiscal Forecasts'!I$213</f>
        <v>0.57199999999999995</v>
      </c>
      <c r="J146" s="21">
        <f>'Fiscal Forecasts'!J$213</f>
        <v>0.52300000000000002</v>
      </c>
      <c r="K146" s="21">
        <f>'Fiscal Forecasts'!K$213</f>
        <v>0.311</v>
      </c>
      <c r="L146" s="21">
        <f>'Fiscal Forecasts'!L$213</f>
        <v>0.59</v>
      </c>
      <c r="M146" s="21">
        <f>'Fiscal Forecasts'!M$213</f>
        <v>0.28999999999999998</v>
      </c>
      <c r="N146" s="21">
        <f>'Fiscal Forecasts'!N$213</f>
        <v>0.28299999999999997</v>
      </c>
      <c r="O146" s="24">
        <f>'Fiscal Forecasts'!O$213</f>
        <v>0.27800000000000002</v>
      </c>
      <c r="P146" s="24">
        <f>'Fiscal Forecasts'!P$213</f>
        <v>0.28100000000000003</v>
      </c>
      <c r="Q146" s="24">
        <f>'Fiscal Forecasts'!Q$213</f>
        <v>0.29299999999999998</v>
      </c>
      <c r="R146" s="24">
        <f>'Fiscal Forecasts'!R$213</f>
        <v>0.30599999999999999</v>
      </c>
      <c r="S146" s="24">
        <f>'Fiscal Forecasts'!S$213</f>
        <v>0.32100000000000001</v>
      </c>
      <c r="T146" s="26">
        <f ca="1">S$146*T$11/S$11</f>
        <v>0.33525646141540444</v>
      </c>
      <c r="U146" s="26">
        <f t="shared" ref="U146:AC146" ca="1" si="101">T$146*U$11/T$11</f>
        <v>0.35011857853922801</v>
      </c>
      <c r="V146" s="26">
        <f t="shared" ca="1" si="101"/>
        <v>0.36583554790017631</v>
      </c>
      <c r="W146" s="26">
        <f t="shared" ca="1" si="101"/>
        <v>0.38213675494843918</v>
      </c>
      <c r="X146" s="26">
        <f t="shared" ca="1" si="101"/>
        <v>0.39911025640048436</v>
      </c>
      <c r="Y146" s="26">
        <f t="shared" ca="1" si="101"/>
        <v>0.41663253621550872</v>
      </c>
      <c r="Z146" s="26">
        <f t="shared" ca="1" si="101"/>
        <v>0.43466791228753837</v>
      </c>
      <c r="AA146" s="26">
        <f t="shared" ca="1" si="101"/>
        <v>0.45322907348303715</v>
      </c>
      <c r="AB146" s="26">
        <f t="shared" ca="1" si="101"/>
        <v>0.47224434536425502</v>
      </c>
      <c r="AC146" s="26">
        <f t="shared" ca="1" si="101"/>
        <v>0.49181283006610499</v>
      </c>
    </row>
    <row r="147" spans="1:29" x14ac:dyDescent="0.2">
      <c r="A147" s="3" t="s">
        <v>430</v>
      </c>
      <c r="B147" s="4" t="str">
        <f>$B$46</f>
        <v>From Fiscal Forecasts</v>
      </c>
      <c r="F147" s="21">
        <f>'Fiscal Forecasts'!F$416</f>
        <v>0</v>
      </c>
      <c r="G147" s="21">
        <f>'Fiscal Forecasts'!G$416</f>
        <v>0</v>
      </c>
      <c r="H147" s="21">
        <f>'Fiscal Forecasts'!H$416</f>
        <v>0</v>
      </c>
      <c r="I147" s="21">
        <f>'Fiscal Forecasts'!I$416</f>
        <v>2.3E-2</v>
      </c>
      <c r="J147" s="21">
        <f>'Fiscal Forecasts'!J$416</f>
        <v>0.32200000000000001</v>
      </c>
      <c r="K147" s="21">
        <f>'Fiscal Forecasts'!K$416</f>
        <v>6.4000000000000001E-2</v>
      </c>
      <c r="L147" s="21">
        <f>'Fiscal Forecasts'!L$416</f>
        <v>0.04</v>
      </c>
      <c r="M147" s="21">
        <f>'Fiscal Forecasts'!M$416</f>
        <v>1.2999999999999999E-2</v>
      </c>
      <c r="N147" s="21">
        <f>'Fiscal Forecasts'!N$416</f>
        <v>0.13500000000000001</v>
      </c>
      <c r="O147" s="24">
        <f>'Fiscal Forecasts'!O$416</f>
        <v>0.16900000000000001</v>
      </c>
      <c r="P147" s="24">
        <f>'Fiscal Forecasts'!P$416</f>
        <v>0.17199999999999999</v>
      </c>
      <c r="Q147" s="24">
        <f>'Fiscal Forecasts'!Q$416</f>
        <v>0.17599999999999999</v>
      </c>
      <c r="R147" s="24">
        <f>'Fiscal Forecasts'!R$416</f>
        <v>0.17599999999999999</v>
      </c>
      <c r="S147" s="24">
        <f>'Fiscal Forecasts'!S$416</f>
        <v>0.17799999999999999</v>
      </c>
      <c r="T147" s="26">
        <f t="shared" ref="T147:AC147" ca="1" si="102">S$147*T$29/S$29</f>
        <v>0.18163010038610039</v>
      </c>
      <c r="U147" s="26">
        <f t="shared" ca="1" si="102"/>
        <v>0.18526270239382242</v>
      </c>
      <c r="V147" s="26">
        <f t="shared" ca="1" si="102"/>
        <v>0.18896795644169886</v>
      </c>
      <c r="W147" s="26">
        <f t="shared" ca="1" si="102"/>
        <v>0.19274731557053282</v>
      </c>
      <c r="X147" s="26">
        <f t="shared" ca="1" si="102"/>
        <v>0.19660226188194349</v>
      </c>
      <c r="Y147" s="26">
        <f t="shared" ca="1" si="102"/>
        <v>0.20053430711958239</v>
      </c>
      <c r="Z147" s="26">
        <f t="shared" ca="1" si="102"/>
        <v>0.20454499326197403</v>
      </c>
      <c r="AA147" s="26">
        <f t="shared" ca="1" si="102"/>
        <v>0.20863589312721351</v>
      </c>
      <c r="AB147" s="26">
        <f t="shared" ca="1" si="102"/>
        <v>0.21280861098975778</v>
      </c>
      <c r="AC147" s="26">
        <f t="shared" ca="1" si="102"/>
        <v>0.21706478320955291</v>
      </c>
    </row>
    <row r="148" spans="1:29" x14ac:dyDescent="0.2">
      <c r="A148" s="3" t="s">
        <v>403</v>
      </c>
      <c r="B148" s="4" t="str">
        <f>$B$46</f>
        <v>From Fiscal Forecasts</v>
      </c>
      <c r="F148" s="21">
        <f>'Fiscal Forecasts'!F$164-SUM(F$146:F$147)</f>
        <v>0.39400000000000002</v>
      </c>
      <c r="G148" s="21">
        <f>'Fiscal Forecasts'!G$164-SUM(G$146:G$147)</f>
        <v>0.42499999999999999</v>
      </c>
      <c r="H148" s="21">
        <f>'Fiscal Forecasts'!H$164-SUM(H$146:H$147)</f>
        <v>0.43300000000000005</v>
      </c>
      <c r="I148" s="21">
        <f>'Fiscal Forecasts'!I$164-SUM(I$146:I$147)</f>
        <v>0.41999999999999993</v>
      </c>
      <c r="J148" s="21">
        <f>'Fiscal Forecasts'!J$164-SUM(J$146:J$147)</f>
        <v>0.42999999999999994</v>
      </c>
      <c r="K148" s="21">
        <f>'Fiscal Forecasts'!K$164-SUM(K$146:K$147)</f>
        <v>0.56000000000000005</v>
      </c>
      <c r="L148" s="21">
        <f>'Fiscal Forecasts'!L$164-SUM(L$146:L$147)</f>
        <v>0.503</v>
      </c>
      <c r="M148" s="21">
        <f>'Fiscal Forecasts'!M$164-SUM(M$146:M$147)</f>
        <v>0.57499999999999996</v>
      </c>
      <c r="N148" s="21">
        <f>'Fiscal Forecasts'!N$164-SUM(N$146:N$147)</f>
        <v>0.57499999999999996</v>
      </c>
      <c r="O148" s="24">
        <f>'Fiscal Forecasts'!O$164-SUM(O$146:O$147)</f>
        <v>0.60299999999999998</v>
      </c>
      <c r="P148" s="24">
        <f>'Fiscal Forecasts'!P$164-SUM(P$146:P$147)</f>
        <v>0.61299999999999999</v>
      </c>
      <c r="Q148" s="24">
        <f>'Fiscal Forecasts'!Q$164-SUM(Q$146:Q$147)</f>
        <v>0.6070000000000001</v>
      </c>
      <c r="R148" s="24">
        <f>'Fiscal Forecasts'!R$164-SUM(R$146:R$147)</f>
        <v>0.60899999999999999</v>
      </c>
      <c r="S148" s="24">
        <f>'Fiscal Forecasts'!S$164-SUM(S$146:S$147)</f>
        <v>0.60799999999999998</v>
      </c>
      <c r="T148" s="26">
        <f t="shared" ref="T148:AC148" ca="1" si="103">S$148*T$11/S$11</f>
        <v>0.63500289264973797</v>
      </c>
      <c r="U148" s="26">
        <f t="shared" ca="1" si="103"/>
        <v>0.66315294626744736</v>
      </c>
      <c r="V148" s="26">
        <f t="shared" ca="1" si="103"/>
        <v>0.69292215926263923</v>
      </c>
      <c r="W148" s="26">
        <f t="shared" ca="1" si="103"/>
        <v>0.72379796575903743</v>
      </c>
      <c r="X148" s="26">
        <f t="shared" ca="1" si="103"/>
        <v>0.75594715230995169</v>
      </c>
      <c r="Y148" s="26">
        <f t="shared" ca="1" si="103"/>
        <v>0.78913576952968634</v>
      </c>
      <c r="Z148" s="26">
        <f t="shared" ca="1" si="103"/>
        <v>0.82329623261938745</v>
      </c>
      <c r="AA148" s="26">
        <f t="shared" ca="1" si="103"/>
        <v>0.85845257531989605</v>
      </c>
      <c r="AB148" s="26">
        <f t="shared" ca="1" si="103"/>
        <v>0.89446904044070752</v>
      </c>
      <c r="AC148" s="26">
        <f t="shared" ca="1" si="103"/>
        <v>0.93153333545231121</v>
      </c>
    </row>
    <row r="149" spans="1:29" x14ac:dyDescent="0.2">
      <c r="A149" s="31" t="s">
        <v>404</v>
      </c>
      <c r="F149" s="56">
        <f>SUM(F$146:F$148)</f>
        <v>0.63600000000000001</v>
      </c>
      <c r="G149" s="56">
        <f t="shared" ref="G149:AC149" si="104">SUM(G$146:G$148)</f>
        <v>0.73299999999999998</v>
      </c>
      <c r="H149" s="56">
        <f t="shared" si="104"/>
        <v>0.80800000000000005</v>
      </c>
      <c r="I149" s="56">
        <f t="shared" si="104"/>
        <v>1.0149999999999999</v>
      </c>
      <c r="J149" s="56">
        <f t="shared" si="104"/>
        <v>1.2749999999999999</v>
      </c>
      <c r="K149" s="56">
        <f t="shared" si="104"/>
        <v>0.93500000000000005</v>
      </c>
      <c r="L149" s="56">
        <f t="shared" si="104"/>
        <v>1.133</v>
      </c>
      <c r="M149" s="56">
        <f t="shared" si="104"/>
        <v>0.87799999999999989</v>
      </c>
      <c r="N149" s="56">
        <f t="shared" si="104"/>
        <v>0.99299999999999988</v>
      </c>
      <c r="O149" s="57">
        <f t="shared" si="104"/>
        <v>1.05</v>
      </c>
      <c r="P149" s="57">
        <f t="shared" si="104"/>
        <v>1.0660000000000001</v>
      </c>
      <c r="Q149" s="57">
        <f t="shared" si="104"/>
        <v>1.0760000000000001</v>
      </c>
      <c r="R149" s="57">
        <f t="shared" si="104"/>
        <v>1.091</v>
      </c>
      <c r="S149" s="57">
        <f t="shared" si="104"/>
        <v>1.107</v>
      </c>
      <c r="T149" s="58">
        <f t="shared" ca="1" si="104"/>
        <v>1.1518894544512428</v>
      </c>
      <c r="U149" s="58">
        <f t="shared" ca="1" si="104"/>
        <v>1.198534227200498</v>
      </c>
      <c r="V149" s="58">
        <f t="shared" ca="1" si="104"/>
        <v>1.2477256636045144</v>
      </c>
      <c r="W149" s="58">
        <f t="shared" ca="1" si="104"/>
        <v>1.2986820362780094</v>
      </c>
      <c r="X149" s="58">
        <f t="shared" ca="1" si="104"/>
        <v>1.3516596705923796</v>
      </c>
      <c r="Y149" s="58">
        <f t="shared" ca="1" si="104"/>
        <v>1.4063026128647773</v>
      </c>
      <c r="Z149" s="58">
        <f t="shared" ca="1" si="104"/>
        <v>1.4625091381688997</v>
      </c>
      <c r="AA149" s="58">
        <f t="shared" ca="1" si="104"/>
        <v>1.5203175419301467</v>
      </c>
      <c r="AB149" s="58">
        <f t="shared" ca="1" si="104"/>
        <v>1.5795219967947203</v>
      </c>
      <c r="AC149" s="58">
        <f t="shared" ca="1" si="104"/>
        <v>1.6404109487279692</v>
      </c>
    </row>
    <row r="150" spans="1:29" x14ac:dyDescent="0.2">
      <c r="A150" s="3" t="s">
        <v>401</v>
      </c>
      <c r="B150" s="4" t="str">
        <f>$B$46</f>
        <v>From Fiscal Forecasts</v>
      </c>
      <c r="F150" s="21">
        <f>'Fiscal Forecasts'!F$211</f>
        <v>2.468</v>
      </c>
      <c r="G150" s="21">
        <f>'Fiscal Forecasts'!G$211</f>
        <v>2.718</v>
      </c>
      <c r="H150" s="21">
        <f>'Fiscal Forecasts'!H$211</f>
        <v>2.88</v>
      </c>
      <c r="I150" s="21">
        <f>'Fiscal Forecasts'!I$211</f>
        <v>3.2610000000000001</v>
      </c>
      <c r="J150" s="21">
        <f>'Fiscal Forecasts'!J$211</f>
        <v>3.5859999999999999</v>
      </c>
      <c r="K150" s="21">
        <f>'Fiscal Forecasts'!K$211</f>
        <v>3.6949999999999998</v>
      </c>
      <c r="L150" s="21">
        <f>'Fiscal Forecasts'!L$211</f>
        <v>3.4369999999999998</v>
      </c>
      <c r="M150" s="21">
        <f>'Fiscal Forecasts'!M$211</f>
        <v>3.6</v>
      </c>
      <c r="N150" s="21">
        <f>'Fiscal Forecasts'!N$211</f>
        <v>3.2759999999999998</v>
      </c>
      <c r="O150" s="24">
        <f>'Fiscal Forecasts'!O$211</f>
        <v>2.7389999999999999</v>
      </c>
      <c r="P150" s="24">
        <f>'Fiscal Forecasts'!P$211</f>
        <v>2.6709999999999998</v>
      </c>
      <c r="Q150" s="24">
        <f>'Fiscal Forecasts'!Q$211</f>
        <v>2.7789999999999999</v>
      </c>
      <c r="R150" s="24">
        <f>'Fiscal Forecasts'!R$211</f>
        <v>2.9289999999999998</v>
      </c>
      <c r="S150" s="24">
        <f>'Fiscal Forecasts'!S$211</f>
        <v>3.0619999999999998</v>
      </c>
      <c r="T150" s="26">
        <f>S$150*(Tracks!T$29-Tracks!T$30)/(Tracks!S$29-Tracks!S$30)</f>
        <v>3.2109434010093638</v>
      </c>
      <c r="U150" s="26">
        <f>T$150*(Tracks!U$29-Tracks!U$30)/(Tracks!T$29-Tracks!T$30)</f>
        <v>3.3594438274625769</v>
      </c>
      <c r="V150" s="26">
        <f>U$150*(Tracks!V$29-Tracks!V$30)/(Tracks!U$29-Tracks!U$30)</f>
        <v>3.5208044043418871</v>
      </c>
      <c r="W150" s="26">
        <f>V$150*(Tracks!W$29-Tracks!W$30)/(Tracks!V$29-Tracks!V$30)</f>
        <v>3.6781681736626006</v>
      </c>
      <c r="X150" s="26">
        <f>W$150*(Tracks!X$29-Tracks!X$30)/(Tracks!W$29-Tracks!W$30)</f>
        <v>3.8445935045504984</v>
      </c>
      <c r="Y150" s="26">
        <f>X$150*(Tracks!Y$29-Tracks!Y$30)/(Tracks!X$29-Tracks!X$30)</f>
        <v>4.0173044549036394</v>
      </c>
      <c r="Z150" s="26">
        <f>Y$150*(Tracks!Z$29-Tracks!Z$30)/(Tracks!Y$29-Tracks!Y$30)</f>
        <v>4.2026315826517457</v>
      </c>
      <c r="AA150" s="26">
        <f>Z$150*(Tracks!AA$29-Tracks!AA$30)/(Tracks!Z$29-Tracks!Z$30)</f>
        <v>4.3767080563198952</v>
      </c>
      <c r="AB150" s="26">
        <f>AA$150*(Tracks!AB$29-Tracks!AB$30)/(Tracks!AA$29-Tracks!AA$30)</f>
        <v>4.567591739223765</v>
      </c>
      <c r="AC150" s="26">
        <f>AB$150*(Tracks!AC$29-Tracks!AC$30)/(Tracks!AB$29-Tracks!AB$30)</f>
        <v>4.7572997831673645</v>
      </c>
    </row>
    <row r="151" spans="1:29" x14ac:dyDescent="0.2">
      <c r="A151" s="3" t="s">
        <v>402</v>
      </c>
      <c r="B151" s="4" t="str">
        <f>$B$46</f>
        <v>From Fiscal Forecasts</v>
      </c>
      <c r="F151" s="21">
        <f>'Fiscal Forecasts'!F$212</f>
        <v>8.4000000000000005E-2</v>
      </c>
      <c r="G151" s="21">
        <f>'Fiscal Forecasts'!G$212</f>
        <v>8.5999999999999993E-2</v>
      </c>
      <c r="H151" s="21">
        <f>'Fiscal Forecasts'!H$212</f>
        <v>8.5999999999999993E-2</v>
      </c>
      <c r="I151" s="21">
        <f>'Fiscal Forecasts'!I$212</f>
        <v>8.5999999999999993E-2</v>
      </c>
      <c r="J151" s="21">
        <f>'Fiscal Forecasts'!J$212</f>
        <v>8.7999999999999995E-2</v>
      </c>
      <c r="K151" s="21">
        <f>'Fiscal Forecasts'!K$212</f>
        <v>0.107</v>
      </c>
      <c r="L151" s="21">
        <f>'Fiscal Forecasts'!L$212</f>
        <v>0.24199999999999999</v>
      </c>
      <c r="M151" s="21">
        <f>'Fiscal Forecasts'!M$212</f>
        <v>0.27400000000000002</v>
      </c>
      <c r="N151" s="21">
        <f>'Fiscal Forecasts'!N$212</f>
        <v>0.28100000000000003</v>
      </c>
      <c r="O151" s="24">
        <f>'Fiscal Forecasts'!O$212</f>
        <v>0.28100000000000003</v>
      </c>
      <c r="P151" s="24">
        <f>'Fiscal Forecasts'!P$212</f>
        <v>0.28299999999999997</v>
      </c>
      <c r="Q151" s="24">
        <f>'Fiscal Forecasts'!Q$212</f>
        <v>0.28599999999999998</v>
      </c>
      <c r="R151" s="24">
        <f>'Fiscal Forecasts'!R$212</f>
        <v>0.28899999999999998</v>
      </c>
      <c r="S151" s="24">
        <f>'Fiscal Forecasts'!S$212</f>
        <v>0.28899999999999998</v>
      </c>
      <c r="T151" s="26">
        <f t="shared" ref="T151:AC151" ca="1" si="105">S$151*T$11/S$11</f>
        <v>0.30183525653910243</v>
      </c>
      <c r="U151" s="26">
        <f t="shared" ca="1" si="105"/>
        <v>0.31521579189357291</v>
      </c>
      <c r="V151" s="26">
        <f t="shared" ca="1" si="105"/>
        <v>0.32936596057056378</v>
      </c>
      <c r="W151" s="26">
        <f t="shared" ca="1" si="105"/>
        <v>0.34404212517164778</v>
      </c>
      <c r="X151" s="26">
        <f t="shared" ca="1" si="105"/>
        <v>0.3593235641736448</v>
      </c>
      <c r="Y151" s="26">
        <f t="shared" ca="1" si="105"/>
        <v>0.37509907466131476</v>
      </c>
      <c r="Z151" s="26">
        <f t="shared" ca="1" si="105"/>
        <v>0.39133653162336013</v>
      </c>
      <c r="AA151" s="26">
        <f t="shared" ca="1" si="105"/>
        <v>0.40804735899251637</v>
      </c>
      <c r="AB151" s="26">
        <f t="shared" ca="1" si="105"/>
        <v>0.42516702744632312</v>
      </c>
      <c r="AC151" s="26">
        <f t="shared" ca="1" si="105"/>
        <v>0.44278475977914133</v>
      </c>
    </row>
    <row r="152" spans="1:29" x14ac:dyDescent="0.2">
      <c r="A152" s="3" t="s">
        <v>405</v>
      </c>
      <c r="B152" s="4" t="str">
        <f>$B$46</f>
        <v>From Fiscal Forecasts</v>
      </c>
      <c r="F152" s="21">
        <f>'Fiscal Forecasts'!F$214-SUM(F$147:F$148)</f>
        <v>0.30800000000000005</v>
      </c>
      <c r="G152" s="21">
        <f>'Fiscal Forecasts'!G$214-SUM(G$147:G$148)</f>
        <v>0.34200000000000003</v>
      </c>
      <c r="H152" s="21">
        <f>'Fiscal Forecasts'!H$214-SUM(H$147:H$148)</f>
        <v>0.34399999999999997</v>
      </c>
      <c r="I152" s="21">
        <f>'Fiscal Forecasts'!I$214-SUM(I$147:I$148)</f>
        <v>0.32000000000000006</v>
      </c>
      <c r="J152" s="21">
        <f>'Fiscal Forecasts'!J$214-SUM(J$147:J$148)</f>
        <v>0.33199999999999985</v>
      </c>
      <c r="K152" s="21">
        <f>'Fiscal Forecasts'!K$214-SUM(K$147:K$148)</f>
        <v>0.39300000000000002</v>
      </c>
      <c r="L152" s="21">
        <f>'Fiscal Forecasts'!L$214-SUM(L$147:L$148)</f>
        <v>0.36</v>
      </c>
      <c r="M152" s="21">
        <f>'Fiscal Forecasts'!M$214-SUM(M$147:M$148)</f>
        <v>0.38200000000000001</v>
      </c>
      <c r="N152" s="21">
        <f>'Fiscal Forecasts'!N$214-SUM(N$147:N$148)</f>
        <v>0.40300000000000002</v>
      </c>
      <c r="O152" s="24">
        <f>'Fiscal Forecasts'!O$214-SUM(O$147:O$148)</f>
        <v>0.38900000000000001</v>
      </c>
      <c r="P152" s="24">
        <f>'Fiscal Forecasts'!P$214-SUM(P$147:P$148)</f>
        <v>0.39100000000000001</v>
      </c>
      <c r="Q152" s="24">
        <f>'Fiscal Forecasts'!Q$214-SUM(Q$147:Q$148)</f>
        <v>0.4049999999999998</v>
      </c>
      <c r="R152" s="24">
        <f>'Fiscal Forecasts'!R$214-SUM(R$147:R$148)</f>
        <v>0.41000000000000014</v>
      </c>
      <c r="S152" s="24">
        <f>'Fiscal Forecasts'!S$214-SUM(S$147:S$148)</f>
        <v>0.42100000000000004</v>
      </c>
      <c r="T152" s="26">
        <f t="shared" ref="T152:AC152" ca="1" si="106">S$152*T$11/S$11</f>
        <v>0.43969772665384826</v>
      </c>
      <c r="U152" s="26">
        <f t="shared" ca="1" si="106"/>
        <v>0.45918978680690042</v>
      </c>
      <c r="V152" s="26">
        <f t="shared" ca="1" si="106"/>
        <v>0.47980300830521583</v>
      </c>
      <c r="W152" s="26">
        <f t="shared" ca="1" si="106"/>
        <v>0.50118247300091257</v>
      </c>
      <c r="X152" s="26">
        <f t="shared" ca="1" si="106"/>
        <v>0.52344366960935806</v>
      </c>
      <c r="Y152" s="26">
        <f t="shared" ca="1" si="106"/>
        <v>0.54642460357236511</v>
      </c>
      <c r="Z152" s="26">
        <f t="shared" ca="1" si="106"/>
        <v>0.57007847686309565</v>
      </c>
      <c r="AA152" s="26">
        <f t="shared" ca="1" si="106"/>
        <v>0.59442193126591492</v>
      </c>
      <c r="AB152" s="26">
        <f t="shared" ca="1" si="106"/>
        <v>0.6193609638577926</v>
      </c>
      <c r="AC152" s="26">
        <f t="shared" ca="1" si="106"/>
        <v>0.64502554971286685</v>
      </c>
    </row>
    <row r="153" spans="1:29" x14ac:dyDescent="0.2">
      <c r="A153" s="31" t="s">
        <v>406</v>
      </c>
      <c r="F153" s="56">
        <f>SUM(F$149:F$152)</f>
        <v>3.4960000000000004</v>
      </c>
      <c r="G153" s="56">
        <f t="shared" ref="G153:AC153" si="107">SUM(G$149:G$152)</f>
        <v>3.879</v>
      </c>
      <c r="H153" s="56">
        <f t="shared" si="107"/>
        <v>4.1179999999999994</v>
      </c>
      <c r="I153" s="56">
        <f t="shared" si="107"/>
        <v>4.6820000000000004</v>
      </c>
      <c r="J153" s="56">
        <f t="shared" si="107"/>
        <v>5.2809999999999997</v>
      </c>
      <c r="K153" s="56">
        <f t="shared" si="107"/>
        <v>5.13</v>
      </c>
      <c r="L153" s="56">
        <f t="shared" si="107"/>
        <v>5.1720000000000006</v>
      </c>
      <c r="M153" s="56">
        <f t="shared" si="107"/>
        <v>5.1339999999999995</v>
      </c>
      <c r="N153" s="56">
        <f t="shared" si="107"/>
        <v>4.9529999999999994</v>
      </c>
      <c r="O153" s="57">
        <f t="shared" si="107"/>
        <v>4.4589999999999996</v>
      </c>
      <c r="P153" s="57">
        <f t="shared" si="107"/>
        <v>4.4110000000000005</v>
      </c>
      <c r="Q153" s="57">
        <f t="shared" si="107"/>
        <v>4.5459999999999994</v>
      </c>
      <c r="R153" s="57">
        <f t="shared" si="107"/>
        <v>4.7189999999999994</v>
      </c>
      <c r="S153" s="57">
        <f t="shared" si="107"/>
        <v>4.8789999999999996</v>
      </c>
      <c r="T153" s="58">
        <f t="shared" ca="1" si="107"/>
        <v>5.1043658386535569</v>
      </c>
      <c r="U153" s="58">
        <f t="shared" ca="1" si="107"/>
        <v>5.3323836333635484</v>
      </c>
      <c r="V153" s="58">
        <f t="shared" ca="1" si="107"/>
        <v>5.5776990368221808</v>
      </c>
      <c r="W153" s="58">
        <f t="shared" ca="1" si="107"/>
        <v>5.8220748081131699</v>
      </c>
      <c r="X153" s="58">
        <f t="shared" ca="1" si="107"/>
        <v>6.0790204089258815</v>
      </c>
      <c r="Y153" s="58">
        <f t="shared" ca="1" si="107"/>
        <v>6.3451307460020976</v>
      </c>
      <c r="Z153" s="58">
        <f t="shared" ca="1" si="107"/>
        <v>6.6265557293071007</v>
      </c>
      <c r="AA153" s="58">
        <f t="shared" ca="1" si="107"/>
        <v>6.8994948885084728</v>
      </c>
      <c r="AB153" s="58">
        <f t="shared" ca="1" si="107"/>
        <v>7.191641727322601</v>
      </c>
      <c r="AC153" s="58">
        <f t="shared" ca="1" si="107"/>
        <v>7.4855210413873419</v>
      </c>
    </row>
    <row r="155" spans="1:29" x14ac:dyDescent="0.2">
      <c r="A155" s="31" t="s">
        <v>407</v>
      </c>
      <c r="B155" s="4" t="str">
        <f>$B$46</f>
        <v>From Fiscal Forecasts</v>
      </c>
      <c r="F155" s="23">
        <f>'Fiscal Forecasts'!F$165</f>
        <v>1.095</v>
      </c>
      <c r="G155" s="23">
        <f>'Fiscal Forecasts'!G$165</f>
        <v>1.097</v>
      </c>
      <c r="H155" s="23">
        <f>'Fiscal Forecasts'!H$165</f>
        <v>1.2370000000000001</v>
      </c>
      <c r="I155" s="23">
        <f>'Fiscal Forecasts'!I$165</f>
        <v>1.387</v>
      </c>
      <c r="J155" s="23">
        <f>'Fiscal Forecasts'!J$165</f>
        <v>1.4430000000000001</v>
      </c>
      <c r="K155" s="23">
        <f>'Fiscal Forecasts'!K$165</f>
        <v>1.448</v>
      </c>
      <c r="L155" s="23">
        <f>'Fiscal Forecasts'!L$165</f>
        <v>1.4610000000000001</v>
      </c>
      <c r="M155" s="23">
        <f>'Fiscal Forecasts'!M$165</f>
        <v>1.488</v>
      </c>
      <c r="N155" s="23">
        <f>'Fiscal Forecasts'!N$165</f>
        <v>1.393</v>
      </c>
      <c r="O155" s="25">
        <f>'Fiscal Forecasts'!O$165</f>
        <v>1.409</v>
      </c>
      <c r="P155" s="25">
        <f>'Fiscal Forecasts'!P$165</f>
        <v>1.4370000000000001</v>
      </c>
      <c r="Q155" s="25">
        <f>'Fiscal Forecasts'!Q$165</f>
        <v>1.5149999999999999</v>
      </c>
      <c r="R155" s="25">
        <f>'Fiscal Forecasts'!R$165</f>
        <v>1.5509999999999999</v>
      </c>
      <c r="S155" s="25">
        <f>'Fiscal Forecasts'!S$165</f>
        <v>1.56</v>
      </c>
      <c r="T155" s="11">
        <f t="shared" ref="T155:AC155" ca="1" si="108">S$155*T$11/S$11</f>
        <v>1.6292837377197225</v>
      </c>
      <c r="U155" s="11">
        <f t="shared" ca="1" si="108"/>
        <v>1.7015108489756874</v>
      </c>
      <c r="V155" s="11">
        <f t="shared" ca="1" si="108"/>
        <v>1.7778923823186137</v>
      </c>
      <c r="W155" s="11">
        <f t="shared" ca="1" si="108"/>
        <v>1.8571132016185825</v>
      </c>
      <c r="X155" s="11">
        <f t="shared" ca="1" si="108"/>
        <v>1.9396012460584282</v>
      </c>
      <c r="Y155" s="11">
        <f t="shared" ca="1" si="108"/>
        <v>2.0247562507669579</v>
      </c>
      <c r="Z155" s="11">
        <f t="shared" ca="1" si="108"/>
        <v>2.1124048073786907</v>
      </c>
      <c r="AA155" s="11">
        <f t="shared" ca="1" si="108"/>
        <v>2.2026085814128904</v>
      </c>
      <c r="AB155" s="11">
        <f t="shared" ca="1" si="108"/>
        <v>2.2950192484991829</v>
      </c>
      <c r="AC155" s="11">
        <f t="shared" ca="1" si="108"/>
        <v>2.3901184264894817</v>
      </c>
    </row>
    <row r="156" spans="1:29" x14ac:dyDescent="0.2">
      <c r="A156" s="31" t="s">
        <v>408</v>
      </c>
      <c r="B156" s="4" t="str">
        <f>$B$46</f>
        <v>From Fiscal Forecasts</v>
      </c>
      <c r="F156" s="23">
        <f>'Fiscal Forecasts'!F$11</f>
        <v>12.613</v>
      </c>
      <c r="G156" s="23">
        <f>'Fiscal Forecasts'!G$11</f>
        <v>15.398999999999999</v>
      </c>
      <c r="H156" s="23">
        <f>'Fiscal Forecasts'!H$11</f>
        <v>15.356</v>
      </c>
      <c r="I156" s="23">
        <f>'Fiscal Forecasts'!I$11</f>
        <v>14.331</v>
      </c>
      <c r="J156" s="23">
        <f>'Fiscal Forecasts'!J$11</f>
        <v>15.084</v>
      </c>
      <c r="K156" s="23">
        <f>'Fiscal Forecasts'!K$11</f>
        <v>16.785</v>
      </c>
      <c r="L156" s="23">
        <f>'Fiscal Forecasts'!L$11</f>
        <v>16.713000000000001</v>
      </c>
      <c r="M156" s="23">
        <f>'Fiscal Forecasts'!M$11</f>
        <v>16.472000000000001</v>
      </c>
      <c r="N156" s="23">
        <f>'Fiscal Forecasts'!N$11</f>
        <v>16.866</v>
      </c>
      <c r="O156" s="25">
        <f>'Fiscal Forecasts'!O$11</f>
        <v>17.039000000000001</v>
      </c>
      <c r="P156" s="25">
        <f>'Fiscal Forecasts'!P$11</f>
        <v>17.57</v>
      </c>
      <c r="Q156" s="25">
        <f>'Fiscal Forecasts'!Q$11</f>
        <v>18.28</v>
      </c>
      <c r="R156" s="25">
        <f>'Fiscal Forecasts'!R$11</f>
        <v>18.5</v>
      </c>
      <c r="S156" s="25">
        <f>'Fiscal Forecasts'!S$11</f>
        <v>18.84</v>
      </c>
      <c r="T156" s="11">
        <f t="shared" ref="T156:AC156" ca="1" si="109">SUM(T$155,(S$156-S$155)*T$11/S$11)</f>
        <v>19.676734370922802</v>
      </c>
      <c r="U156" s="11">
        <f t="shared" ca="1" si="109"/>
        <v>20.549015637629456</v>
      </c>
      <c r="V156" s="11">
        <f t="shared" ca="1" si="109"/>
        <v>21.471469540309414</v>
      </c>
      <c r="W156" s="11">
        <f t="shared" ca="1" si="109"/>
        <v>22.428213281085963</v>
      </c>
      <c r="X156" s="11">
        <f t="shared" ca="1" si="109"/>
        <v>23.42441504855179</v>
      </c>
      <c r="Y156" s="11">
        <f t="shared" ca="1" si="109"/>
        <v>24.452825490031728</v>
      </c>
      <c r="Z156" s="11">
        <f t="shared" ca="1" si="109"/>
        <v>25.511350366034961</v>
      </c>
      <c r="AA156" s="11">
        <f t="shared" ca="1" si="109"/>
        <v>26.600734406294141</v>
      </c>
      <c r="AB156" s="11">
        <f t="shared" ca="1" si="109"/>
        <v>27.716770924182448</v>
      </c>
      <c r="AC156" s="11">
        <f t="shared" ca="1" si="109"/>
        <v>28.865276381449906</v>
      </c>
    </row>
    <row r="158" spans="1:29" x14ac:dyDescent="0.2">
      <c r="A158" s="31" t="s">
        <v>226</v>
      </c>
    </row>
    <row r="159" spans="1:29" x14ac:dyDescent="0.2">
      <c r="A159" s="3" t="s">
        <v>409</v>
      </c>
      <c r="F159" s="21">
        <f>F$392</f>
        <v>0.36</v>
      </c>
      <c r="G159" s="21">
        <f t="shared" ref="G159:AC159" si="110">G$392</f>
        <v>0.40699999999999997</v>
      </c>
      <c r="H159" s="21">
        <f t="shared" si="110"/>
        <v>0.46500000000000002</v>
      </c>
      <c r="I159" s="21">
        <f t="shared" si="110"/>
        <v>0.46300000000000002</v>
      </c>
      <c r="J159" s="21">
        <f t="shared" si="110"/>
        <v>0.48399999999999999</v>
      </c>
      <c r="K159" s="21">
        <f t="shared" si="110"/>
        <v>0.52600000000000002</v>
      </c>
      <c r="L159" s="21">
        <f t="shared" si="110"/>
        <v>0.59</v>
      </c>
      <c r="M159" s="21">
        <f t="shared" si="110"/>
        <v>0.57899999999999996</v>
      </c>
      <c r="N159" s="21">
        <f t="shared" si="110"/>
        <v>0.60399999999999998</v>
      </c>
      <c r="O159" s="24">
        <f t="shared" si="110"/>
        <v>0.59599999999999997</v>
      </c>
      <c r="P159" s="24">
        <f t="shared" si="110"/>
        <v>0.60899999999999999</v>
      </c>
      <c r="Q159" s="24">
        <f t="shared" si="110"/>
        <v>0.622</v>
      </c>
      <c r="R159" s="24">
        <f t="shared" si="110"/>
        <v>0.629</v>
      </c>
      <c r="S159" s="24">
        <f t="shared" si="110"/>
        <v>0.63500000000000001</v>
      </c>
      <c r="T159" s="26">
        <f t="shared" si="110"/>
        <v>0.66</v>
      </c>
      <c r="U159" s="26">
        <f t="shared" si="110"/>
        <v>0.68100000000000005</v>
      </c>
      <c r="V159" s="26">
        <f t="shared" si="110"/>
        <v>0.69300000000000006</v>
      </c>
      <c r="W159" s="26">
        <f t="shared" si="110"/>
        <v>0.70800000000000007</v>
      </c>
      <c r="X159" s="26">
        <f t="shared" si="110"/>
        <v>0.72500000000000009</v>
      </c>
      <c r="Y159" s="26">
        <f t="shared" si="110"/>
        <v>0.7410000000000001</v>
      </c>
      <c r="Z159" s="26">
        <f t="shared" si="110"/>
        <v>0.75700000000000012</v>
      </c>
      <c r="AA159" s="26">
        <f t="shared" si="110"/>
        <v>0.77800000000000014</v>
      </c>
      <c r="AB159" s="26">
        <f t="shared" si="110"/>
        <v>0.79700000000000015</v>
      </c>
      <c r="AC159" s="26">
        <f t="shared" si="110"/>
        <v>0.81900000000000017</v>
      </c>
    </row>
    <row r="160" spans="1:29" x14ac:dyDescent="0.2">
      <c r="A160" s="3" t="s">
        <v>787</v>
      </c>
      <c r="F160" s="21">
        <f t="shared" ref="F160:P160" si="111">F$362</f>
        <v>0.436</v>
      </c>
      <c r="G160" s="21">
        <f t="shared" si="111"/>
        <v>0.38500000000000001</v>
      </c>
      <c r="H160" s="21">
        <f t="shared" si="111"/>
        <v>0.38300000000000001</v>
      </c>
      <c r="I160" s="21">
        <f t="shared" si="111"/>
        <v>0.433</v>
      </c>
      <c r="J160" s="21">
        <f t="shared" si="111"/>
        <v>0.51800000000000002</v>
      </c>
      <c r="K160" s="21">
        <f t="shared" si="111"/>
        <v>0.53900000000000003</v>
      </c>
      <c r="L160" s="21">
        <f t="shared" si="111"/>
        <v>0.59499999999999997</v>
      </c>
      <c r="M160" s="21">
        <f t="shared" si="111"/>
        <v>0.76700000000000002</v>
      </c>
      <c r="N160" s="21">
        <f t="shared" si="111"/>
        <v>0.76</v>
      </c>
      <c r="O160" s="24">
        <f t="shared" si="111"/>
        <v>0.79800000000000004</v>
      </c>
      <c r="P160" s="24">
        <f t="shared" si="111"/>
        <v>0.83699999999999997</v>
      </c>
      <c r="Q160" s="24">
        <f>Q$362</f>
        <v>0.91200000000000003</v>
      </c>
      <c r="R160" s="24">
        <f>R$362</f>
        <v>0.99</v>
      </c>
      <c r="S160" s="24">
        <f>S$362</f>
        <v>1.075</v>
      </c>
      <c r="T160" s="26">
        <f t="shared" ref="T160:AC160" ca="1" si="112">T$362</f>
        <v>0.9908150991189868</v>
      </c>
      <c r="U160" s="26">
        <f t="shared" ca="1" si="112"/>
        <v>1.0756665620880363</v>
      </c>
      <c r="V160" s="26">
        <f t="shared" ca="1" si="112"/>
        <v>1.1926019085220114</v>
      </c>
      <c r="W160" s="26">
        <f t="shared" ca="1" si="112"/>
        <v>1.3336896425266791</v>
      </c>
      <c r="X160" s="26">
        <f t="shared" ca="1" si="112"/>
        <v>1.4782062864531975</v>
      </c>
      <c r="Y160" s="26">
        <f t="shared" ca="1" si="112"/>
        <v>1.6254554930256278</v>
      </c>
      <c r="Z160" s="26">
        <f t="shared" ca="1" si="112"/>
        <v>1.7743180324814587</v>
      </c>
      <c r="AA160" s="26">
        <f t="shared" ca="1" si="112"/>
        <v>1.9241435099380597</v>
      </c>
      <c r="AB160" s="26">
        <f t="shared" ca="1" si="112"/>
        <v>2.0748136077325032</v>
      </c>
      <c r="AC160" s="26">
        <f t="shared" ca="1" si="112"/>
        <v>2.2268010933948248</v>
      </c>
    </row>
    <row r="161" spans="1:29" x14ac:dyDescent="0.2">
      <c r="A161" s="3" t="s">
        <v>410</v>
      </c>
      <c r="B161" s="4" t="str">
        <f>$B$46</f>
        <v>From Fiscal Forecasts</v>
      </c>
      <c r="F161" s="21">
        <f>'Fiscal Forecasts'!F$217-SUM(F$159:F$160)</f>
        <v>1.784</v>
      </c>
      <c r="G161" s="21">
        <f>'Fiscal Forecasts'!G$217-SUM(G$159:G$160)</f>
        <v>1.5519999999999998</v>
      </c>
      <c r="H161" s="21">
        <f>'Fiscal Forecasts'!H$217-SUM(H$159:H$160)</f>
        <v>1.024</v>
      </c>
      <c r="I161" s="21">
        <f>'Fiscal Forecasts'!I$217-SUM(I$159:I$160)</f>
        <v>1.2389999999999999</v>
      </c>
      <c r="J161" s="21">
        <f>'Fiscal Forecasts'!J$217-SUM(J$159:J$160)</f>
        <v>1.167</v>
      </c>
      <c r="K161" s="21">
        <f>'Fiscal Forecasts'!K$217-SUM(K$159:K$160)</f>
        <v>0.73</v>
      </c>
      <c r="L161" s="21">
        <f>'Fiscal Forecasts'!L$217-SUM(L$159:L$160)</f>
        <v>0.91900000000000004</v>
      </c>
      <c r="M161" s="21">
        <f>'Fiscal Forecasts'!M$217-SUM(M$159:M$160)</f>
        <v>0.97900000000000009</v>
      </c>
      <c r="N161" s="21">
        <f>'Fiscal Forecasts'!N$217-SUM(N$159:N$160)</f>
        <v>1.0880000000000001</v>
      </c>
      <c r="O161" s="24">
        <f>'Fiscal Forecasts'!O$217-SUM(O$159:O$160)</f>
        <v>1.4449999999999998</v>
      </c>
      <c r="P161" s="24">
        <f>'Fiscal Forecasts'!P$217-SUM(P$159:P$160)</f>
        <v>1.4690000000000001</v>
      </c>
      <c r="Q161" s="24">
        <f>'Fiscal Forecasts'!Q$217-SUM(Q$159:Q$160)</f>
        <v>1.5730000000000002</v>
      </c>
      <c r="R161" s="24">
        <f>'Fiscal Forecasts'!R$217-SUM(R$159:R$160)</f>
        <v>1.776</v>
      </c>
      <c r="S161" s="24">
        <f>'Fiscal Forecasts'!S$217-SUM(S$159:S$160)</f>
        <v>1.8770000000000002</v>
      </c>
      <c r="T161" s="26">
        <f t="shared" ref="T161:AC161" ca="1" si="113">T$32*AVERAGE(SUM(S$345,S$355,S$383)-SUM(S$370-S$348,S$395),SUM(T$345,T$355,T$383)-SUM(T$370-T$348,T$395))</f>
        <v>1.7270066753067617</v>
      </c>
      <c r="U161" s="26">
        <f t="shared" ca="1" si="113"/>
        <v>1.8856006355065382</v>
      </c>
      <c r="V161" s="26">
        <f t="shared" ca="1" si="113"/>
        <v>2.0270707926440701</v>
      </c>
      <c r="W161" s="26">
        <f t="shared" ca="1" si="113"/>
        <v>2.1235444421933529</v>
      </c>
      <c r="X161" s="26">
        <f t="shared" ca="1" si="113"/>
        <v>2.2216512283236889</v>
      </c>
      <c r="Y161" s="26">
        <f t="shared" ca="1" si="113"/>
        <v>2.3209953881264784</v>
      </c>
      <c r="Z161" s="26">
        <f t="shared" ca="1" si="113"/>
        <v>2.4221659483489959</v>
      </c>
      <c r="AA161" s="26">
        <f t="shared" ca="1" si="113"/>
        <v>2.5262923899041074</v>
      </c>
      <c r="AB161" s="26">
        <f t="shared" ca="1" si="113"/>
        <v>2.6332068838631839</v>
      </c>
      <c r="AC161" s="26">
        <f t="shared" ca="1" si="113"/>
        <v>2.7429874689894218</v>
      </c>
    </row>
    <row r="162" spans="1:29" x14ac:dyDescent="0.2">
      <c r="A162" s="31" t="s">
        <v>411</v>
      </c>
      <c r="F162" s="56">
        <f>SUM(F$159:F$161)</f>
        <v>2.58</v>
      </c>
      <c r="G162" s="56">
        <f t="shared" ref="G162:AC162" si="114">SUM(G$159:G$161)</f>
        <v>2.3439999999999999</v>
      </c>
      <c r="H162" s="56">
        <f t="shared" si="114"/>
        <v>1.8720000000000001</v>
      </c>
      <c r="I162" s="56">
        <f t="shared" si="114"/>
        <v>2.1349999999999998</v>
      </c>
      <c r="J162" s="56">
        <f t="shared" si="114"/>
        <v>2.169</v>
      </c>
      <c r="K162" s="56">
        <f t="shared" si="114"/>
        <v>1.7949999999999999</v>
      </c>
      <c r="L162" s="56">
        <f t="shared" si="114"/>
        <v>2.1040000000000001</v>
      </c>
      <c r="M162" s="56">
        <f t="shared" si="114"/>
        <v>2.3250000000000002</v>
      </c>
      <c r="N162" s="56">
        <f t="shared" si="114"/>
        <v>2.452</v>
      </c>
      <c r="O162" s="57">
        <f t="shared" si="114"/>
        <v>2.839</v>
      </c>
      <c r="P162" s="57">
        <f t="shared" si="114"/>
        <v>2.915</v>
      </c>
      <c r="Q162" s="57">
        <f t="shared" si="114"/>
        <v>3.1070000000000002</v>
      </c>
      <c r="R162" s="57">
        <f t="shared" si="114"/>
        <v>3.395</v>
      </c>
      <c r="S162" s="57">
        <f t="shared" si="114"/>
        <v>3.5870000000000002</v>
      </c>
      <c r="T162" s="58">
        <f t="shared" ca="1" si="114"/>
        <v>3.3778217744257484</v>
      </c>
      <c r="U162" s="58">
        <f t="shared" ca="1" si="114"/>
        <v>3.6422671975945748</v>
      </c>
      <c r="V162" s="58">
        <f t="shared" ca="1" si="114"/>
        <v>3.9126727011660813</v>
      </c>
      <c r="W162" s="58">
        <f t="shared" ca="1" si="114"/>
        <v>4.1652340847200318</v>
      </c>
      <c r="X162" s="58">
        <f t="shared" ca="1" si="114"/>
        <v>4.4248575147768872</v>
      </c>
      <c r="Y162" s="58">
        <f t="shared" ca="1" si="114"/>
        <v>4.6874508811521061</v>
      </c>
      <c r="Z162" s="58">
        <f t="shared" ca="1" si="114"/>
        <v>4.9534839808304554</v>
      </c>
      <c r="AA162" s="58">
        <f t="shared" ca="1" si="114"/>
        <v>5.2284358998421672</v>
      </c>
      <c r="AB162" s="58">
        <f t="shared" ca="1" si="114"/>
        <v>5.5050204915956868</v>
      </c>
      <c r="AC162" s="58">
        <f t="shared" ca="1" si="114"/>
        <v>5.788788562384247</v>
      </c>
    </row>
    <row r="163" spans="1:29" x14ac:dyDescent="0.2">
      <c r="A163" s="3" t="s">
        <v>416</v>
      </c>
      <c r="B163" s="4" t="str">
        <f>$B$46</f>
        <v>From Fiscal Forecasts</v>
      </c>
      <c r="F163" s="21">
        <f>'Fiscal Forecasts'!F$218</f>
        <v>0.75600000000000001</v>
      </c>
      <c r="G163" s="21">
        <f>'Fiscal Forecasts'!G$218</f>
        <v>1.2330000000000001</v>
      </c>
      <c r="H163" s="21">
        <f>'Fiscal Forecasts'!H$218</f>
        <v>1.248</v>
      </c>
      <c r="I163" s="21">
        <f>'Fiscal Forecasts'!I$218</f>
        <v>1.1459999999999999</v>
      </c>
      <c r="J163" s="21">
        <f>'Fiscal Forecasts'!J$218</f>
        <v>1.234</v>
      </c>
      <c r="K163" s="21">
        <f>'Fiscal Forecasts'!K$218</f>
        <v>1.181</v>
      </c>
      <c r="L163" s="21">
        <f>'Fiscal Forecasts'!L$218</f>
        <v>1.27</v>
      </c>
      <c r="M163" s="21">
        <f>'Fiscal Forecasts'!M$218</f>
        <v>1.2490000000000001</v>
      </c>
      <c r="N163" s="21">
        <f>'Fiscal Forecasts'!N$218</f>
        <v>1.429</v>
      </c>
      <c r="O163" s="24">
        <f>'Fiscal Forecasts'!O$218</f>
        <v>1.552</v>
      </c>
      <c r="P163" s="24">
        <f>'Fiscal Forecasts'!P$218</f>
        <v>1.5029999999999999</v>
      </c>
      <c r="Q163" s="24">
        <f>'Fiscal Forecasts'!Q$218</f>
        <v>1.4930000000000001</v>
      </c>
      <c r="R163" s="24">
        <f>'Fiscal Forecasts'!R$218</f>
        <v>1.5469999999999999</v>
      </c>
      <c r="S163" s="24">
        <f>'Fiscal Forecasts'!S$218</f>
        <v>1.6040000000000001</v>
      </c>
      <c r="T163" s="26">
        <f>S$163*Tracks!T$33/Tracks!S$33</f>
        <v>1.6770001991813419</v>
      </c>
      <c r="U163" s="26">
        <f>T$163*Tracks!U$33/Tracks!T$33</f>
        <v>1.7598247661710711</v>
      </c>
      <c r="V163" s="26">
        <f>U$163*Tracks!V$33/Tracks!U$33</f>
        <v>1.8435286906475215</v>
      </c>
      <c r="W163" s="26">
        <f>V$163*Tracks!W$33/Tracks!V$33</f>
        <v>1.9297825225678458</v>
      </c>
      <c r="X163" s="26">
        <f>W$163*Tracks!X$33/Tracks!W$33</f>
        <v>2.0168458169216343</v>
      </c>
      <c r="Y163" s="26">
        <f>X$163*Tracks!Y$33/Tracks!X$33</f>
        <v>2.1064406227984431</v>
      </c>
      <c r="Z163" s="26">
        <f>Y$163*Tracks!Z$33/Tracks!Y$33</f>
        <v>2.2008519345370354</v>
      </c>
      <c r="AA163" s="26">
        <f>Z$163*Tracks!AA$33/Tracks!Z$33</f>
        <v>2.2982032960288459</v>
      </c>
      <c r="AB163" s="26">
        <f>AA$163*Tracks!AB$33/Tracks!AA$33</f>
        <v>2.3977784815401839</v>
      </c>
      <c r="AC163" s="26">
        <f>AB$163*Tracks!AC$33/Tracks!AB$33</f>
        <v>2.5004159113225364</v>
      </c>
    </row>
    <row r="164" spans="1:29" x14ac:dyDescent="0.2">
      <c r="A164" s="3" t="s">
        <v>417</v>
      </c>
      <c r="B164" s="4" t="str">
        <f>$B$46</f>
        <v>From Fiscal Forecasts</v>
      </c>
      <c r="F164" s="21">
        <f>'Fiscal Forecasts'!F$219</f>
        <v>0.48399999999999999</v>
      </c>
      <c r="G164" s="21">
        <f>'Fiscal Forecasts'!G$219</f>
        <v>0.70399999999999996</v>
      </c>
      <c r="H164" s="21">
        <f>'Fiscal Forecasts'!H$219</f>
        <v>0.77100000000000002</v>
      </c>
      <c r="I164" s="21">
        <f>'Fiscal Forecasts'!I$219</f>
        <v>0.626</v>
      </c>
      <c r="J164" s="21">
        <f>'Fiscal Forecasts'!J$219</f>
        <v>0.80100000000000005</v>
      </c>
      <c r="K164" s="21">
        <f>'Fiscal Forecasts'!K$219</f>
        <v>0.85799999999999998</v>
      </c>
      <c r="L164" s="21">
        <f>'Fiscal Forecasts'!L$219</f>
        <v>0.85599999999999998</v>
      </c>
      <c r="M164" s="21">
        <f>'Fiscal Forecasts'!M$219</f>
        <v>0.879</v>
      </c>
      <c r="N164" s="21">
        <f>'Fiscal Forecasts'!N$219</f>
        <v>1.0429999999999999</v>
      </c>
      <c r="O164" s="24">
        <f>'Fiscal Forecasts'!O$219</f>
        <v>1.054</v>
      </c>
      <c r="P164" s="24">
        <f>'Fiscal Forecasts'!P$219</f>
        <v>1.121</v>
      </c>
      <c r="Q164" s="24">
        <f>'Fiscal Forecasts'!Q$219</f>
        <v>1.272</v>
      </c>
      <c r="R164" s="24">
        <f>'Fiscal Forecasts'!R$219</f>
        <v>1.3480000000000001</v>
      </c>
      <c r="S164" s="24">
        <f>'Fiscal Forecasts'!S$219</f>
        <v>1.4470000000000001</v>
      </c>
      <c r="T164" s="26">
        <f t="shared" ref="T164:AC164" ca="1" si="115">T$32*AVERAGE(SUM((S$346-S$345),S$357,S$384),SUM((T$346-T$345),T$357,T$384))</f>
        <v>1.5333652548409122</v>
      </c>
      <c r="U164" s="26">
        <f t="shared" ca="1" si="115"/>
        <v>1.6605274605784837</v>
      </c>
      <c r="V164" s="26">
        <f t="shared" ca="1" si="115"/>
        <v>1.7738053283345077</v>
      </c>
      <c r="W164" s="26">
        <f t="shared" ca="1" si="115"/>
        <v>1.8498335853182051</v>
      </c>
      <c r="X164" s="26">
        <f t="shared" ca="1" si="115"/>
        <v>1.930065310319631</v>
      </c>
      <c r="Y164" s="26">
        <f t="shared" ca="1" si="115"/>
        <v>2.0145800000193885</v>
      </c>
      <c r="Z164" s="26">
        <f t="shared" ca="1" si="115"/>
        <v>2.102394128499653</v>
      </c>
      <c r="AA164" s="26">
        <f t="shared" ca="1" si="115"/>
        <v>2.1927739059448137</v>
      </c>
      <c r="AB164" s="26">
        <f t="shared" ca="1" si="115"/>
        <v>2.2855736600261918</v>
      </c>
      <c r="AC164" s="26">
        <f t="shared" ca="1" si="115"/>
        <v>2.380861126910935</v>
      </c>
    </row>
    <row r="165" spans="1:29" x14ac:dyDescent="0.2">
      <c r="A165" s="3" t="s">
        <v>418</v>
      </c>
      <c r="B165" s="4" t="str">
        <f>$B$46</f>
        <v>From Fiscal Forecasts</v>
      </c>
      <c r="F165" s="21">
        <f>'Fiscal Forecasts'!F$220</f>
        <v>-0.82499999999999996</v>
      </c>
      <c r="G165" s="21">
        <f>'Fiscal Forecasts'!G$220</f>
        <v>-1.0669999999999999</v>
      </c>
      <c r="H165" s="21">
        <f>'Fiscal Forecasts'!H$220</f>
        <v>-0.89400000000000002</v>
      </c>
      <c r="I165" s="21">
        <f>'Fiscal Forecasts'!I$220</f>
        <v>-1.5920000000000001</v>
      </c>
      <c r="J165" s="21">
        <f>'Fiscal Forecasts'!J$220</f>
        <v>-1.6339999999999999</v>
      </c>
      <c r="K165" s="21">
        <f>'Fiscal Forecasts'!K$220</f>
        <v>-1.071</v>
      </c>
      <c r="L165" s="21">
        <f>'Fiscal Forecasts'!L$220</f>
        <v>-1.2909999999999999</v>
      </c>
      <c r="M165" s="21">
        <f>'Fiscal Forecasts'!M$220</f>
        <v>-1.248</v>
      </c>
      <c r="N165" s="21">
        <f>'Fiscal Forecasts'!N$220</f>
        <v>-1.4</v>
      </c>
      <c r="O165" s="24">
        <f>'Fiscal Forecasts'!O$220</f>
        <v>-1.3779999999999999</v>
      </c>
      <c r="P165" s="24">
        <f>'Fiscal Forecasts'!P$220</f>
        <v>-1.276</v>
      </c>
      <c r="Q165" s="24">
        <f>'Fiscal Forecasts'!Q$220</f>
        <v>-1.2609999999999999</v>
      </c>
      <c r="R165" s="24">
        <f>'Fiscal Forecasts'!R$220</f>
        <v>-1.296</v>
      </c>
      <c r="S165" s="24">
        <f>'Fiscal Forecasts'!S$220</f>
        <v>-1.337</v>
      </c>
      <c r="T165" s="26">
        <f ca="1">IF(T$4=OFFSET(Choices!$B$10,0,$C$1),AVERAGE(Q$165/SUM(Q$162,Q$163,Q$164),R$165/SUM(R$162,R$163,R$164),S$165/SUM(S$162,S$163,S$164)),S$165/SUM(S$162,S$163,S$164))*SUM(T$162,T$163,T$164)</f>
        <v>-1.3664018482794738</v>
      </c>
      <c r="U165" s="26">
        <f ca="1">IF(U$4=OFFSET(Choices!$B$10,0,$C$1),AVERAGE(R$165/SUM(R$162,R$163,R$164),S$165/SUM(S$162,S$163,S$164),T$165/SUM(T$162,T$163,T$164)),T$165/SUM(T$162,T$163,T$164))*SUM(U$162,U$163,U$164)</f>
        <v>-1.464799936687849</v>
      </c>
      <c r="V165" s="26">
        <f ca="1">IF(V$4=OFFSET(Choices!$B$10,0,$C$1),AVERAGE(S$165/SUM(S$162,S$163,S$164),T$165/SUM(T$162,T$163,T$164),U$165/SUM(U$162,U$163,U$164)),U$165/SUM(U$162,U$163,U$164))*SUM(V$162,V$163,V$164)</f>
        <v>-1.5617369001808175</v>
      </c>
      <c r="W165" s="26">
        <f ca="1">IF(W$4=OFFSET(Choices!$B$10,0,$C$1),AVERAGE(T$165/SUM(T$162,T$163,T$164),U$165/SUM(U$162,U$163,U$164),V$165/SUM(V$162,V$163,V$164)),V$165/SUM(V$162,V$163,V$164))*SUM(W$162,W$163,W$164)</f>
        <v>-1.6477761804650211</v>
      </c>
      <c r="X165" s="26">
        <f ca="1">IF(X$4=OFFSET(Choices!$B$10,0,$C$1),AVERAGE(U$165/SUM(U$162,U$163,U$164),V$165/SUM(V$162,V$163,V$164),W$165/SUM(W$162,W$163,W$164)),W$165/SUM(W$162,W$163,W$164))*SUM(X$162,X$163,X$164)</f>
        <v>-1.7363198326281484</v>
      </c>
      <c r="Y165" s="26">
        <f ca="1">IF(Y$4=OFFSET(Choices!$B$10,0,$C$1),AVERAGE(V$165/SUM(V$162,V$163,V$164),W$165/SUM(W$162,W$163,W$164),X$165/SUM(X$162,X$163,X$164)),X$165/SUM(X$162,X$163,X$164))*SUM(Y$162,Y$163,Y$164)</f>
        <v>-1.8268927895021174</v>
      </c>
      <c r="Z165" s="26">
        <f ca="1">IF(Z$4=OFFSET(Choices!$B$10,0,$C$1),AVERAGE(W$165/SUM(W$162,W$163,W$164),X$165/SUM(X$162,X$163,X$164),Y$165/SUM(Y$162,Y$163,Y$164)),Y$165/SUM(Y$162,Y$163,Y$164))*SUM(Z$162,Z$163,Z$164)</f>
        <v>-1.919862414709155</v>
      </c>
      <c r="AA165" s="26">
        <f ca="1">IF(AA$4=OFFSET(Choices!$B$10,0,$C$1),AVERAGE(X$165/SUM(X$162,X$163,X$164),Y$165/SUM(Y$162,Y$163,Y$164),Z$165/SUM(Z$162,Z$163,Z$164)),Z$165/SUM(Z$162,Z$163,Z$164))*SUM(AA$162,AA$163,AA$164)</f>
        <v>-2.0158237108330375</v>
      </c>
      <c r="AB165" s="26">
        <f ca="1">IF(AB$4=OFFSET(Choices!$B$10,0,$C$1),AVERAGE(Y$165/SUM(Y$162,Y$163,Y$164),Z$165/SUM(Z$162,Z$163,Z$164),AA$165/SUM(AA$162,AA$163,AA$164)),AA$165/SUM(AA$162,AA$163,AA$164))*SUM(AB$162,AB$163,AB$164)</f>
        <v>-2.1130867587975568</v>
      </c>
      <c r="AC165" s="26">
        <f ca="1">IF(AC$4=OFFSET(Choices!$B$10,0,$C$1),AVERAGE(Z$165/SUM(Z$162,Z$163,Z$164),AA$165/SUM(AA$162,AA$163,AA$164),AB$165/SUM(AB$162,AB$163,AB$164)),AB$165/SUM(AB$162,AB$163,AB$164))*SUM(AC$162,AC$163,AC$164)</f>
        <v>-2.2129907442508792</v>
      </c>
    </row>
    <row r="166" spans="1:29" x14ac:dyDescent="0.2">
      <c r="A166" s="31" t="s">
        <v>419</v>
      </c>
      <c r="F166" s="56">
        <f>SUM(F$162:F$165)</f>
        <v>2.9950000000000001</v>
      </c>
      <c r="G166" s="56">
        <f t="shared" ref="G166:AC166" si="116">SUM(G$162:G$165)</f>
        <v>3.2139999999999995</v>
      </c>
      <c r="H166" s="56">
        <f t="shared" si="116"/>
        <v>2.9969999999999999</v>
      </c>
      <c r="I166" s="56">
        <f t="shared" si="116"/>
        <v>2.3149999999999995</v>
      </c>
      <c r="J166" s="56">
        <f t="shared" si="116"/>
        <v>2.57</v>
      </c>
      <c r="K166" s="56">
        <f t="shared" si="116"/>
        <v>2.7629999999999999</v>
      </c>
      <c r="L166" s="56">
        <f t="shared" si="116"/>
        <v>2.9390000000000005</v>
      </c>
      <c r="M166" s="56">
        <f t="shared" si="116"/>
        <v>3.2050000000000001</v>
      </c>
      <c r="N166" s="56">
        <f t="shared" si="116"/>
        <v>3.5240000000000005</v>
      </c>
      <c r="O166" s="57">
        <f t="shared" si="116"/>
        <v>4.0670000000000002</v>
      </c>
      <c r="P166" s="57">
        <f t="shared" si="116"/>
        <v>4.2629999999999999</v>
      </c>
      <c r="Q166" s="57">
        <f t="shared" si="116"/>
        <v>4.6110000000000007</v>
      </c>
      <c r="R166" s="57">
        <f t="shared" si="116"/>
        <v>4.9939999999999998</v>
      </c>
      <c r="S166" s="57">
        <f t="shared" si="116"/>
        <v>5.301000000000001</v>
      </c>
      <c r="T166" s="58">
        <f t="shared" ca="1" si="116"/>
        <v>5.2217853801685292</v>
      </c>
      <c r="U166" s="58">
        <f t="shared" ca="1" si="116"/>
        <v>5.5978194876562801</v>
      </c>
      <c r="V166" s="58">
        <f t="shared" ca="1" si="116"/>
        <v>5.9682698199672926</v>
      </c>
      <c r="W166" s="58">
        <f t="shared" ca="1" si="116"/>
        <v>6.2970740121410618</v>
      </c>
      <c r="X166" s="58">
        <f t="shared" ca="1" si="116"/>
        <v>6.6354488093900033</v>
      </c>
      <c r="Y166" s="58">
        <f t="shared" ca="1" si="116"/>
        <v>6.981578714467819</v>
      </c>
      <c r="Z166" s="58">
        <f t="shared" ca="1" si="116"/>
        <v>7.3368676291579886</v>
      </c>
      <c r="AA166" s="58">
        <f t="shared" ca="1" si="116"/>
        <v>7.7035893909827884</v>
      </c>
      <c r="AB166" s="58">
        <f t="shared" ca="1" si="116"/>
        <v>8.0752858743645053</v>
      </c>
      <c r="AC166" s="58">
        <f t="shared" ca="1" si="116"/>
        <v>8.4570748563668392</v>
      </c>
    </row>
    <row r="167" spans="1:29" x14ac:dyDescent="0.2">
      <c r="A167" s="66"/>
    </row>
    <row r="168" spans="1:29" x14ac:dyDescent="0.2">
      <c r="A168" s="31" t="s">
        <v>420</v>
      </c>
      <c r="B168" s="4" t="str">
        <f>$B$46</f>
        <v>From Fiscal Forecasts</v>
      </c>
      <c r="F168" s="23">
        <f>'Fiscal Forecasts'!F$166</f>
        <v>0.42299999999999999</v>
      </c>
      <c r="G168" s="23">
        <f>'Fiscal Forecasts'!G$166</f>
        <v>0.89800000000000002</v>
      </c>
      <c r="H168" s="23">
        <f>'Fiscal Forecasts'!H$166</f>
        <v>0.88400000000000001</v>
      </c>
      <c r="I168" s="23">
        <f>'Fiscal Forecasts'!I$166</f>
        <v>0.93500000000000005</v>
      </c>
      <c r="J168" s="23">
        <f>'Fiscal Forecasts'!J$166</f>
        <v>1.1060000000000001</v>
      </c>
      <c r="K168" s="23">
        <f>'Fiscal Forecasts'!K$166</f>
        <v>1.306</v>
      </c>
      <c r="L168" s="23">
        <f>'Fiscal Forecasts'!L$166</f>
        <v>0.8</v>
      </c>
      <c r="M168" s="23">
        <f>'Fiscal Forecasts'!M$166</f>
        <v>0.83899999999999997</v>
      </c>
      <c r="N168" s="23">
        <f>'Fiscal Forecasts'!N$166</f>
        <v>0.73899999999999999</v>
      </c>
      <c r="O168" s="25">
        <f>'Fiscal Forecasts'!O$166</f>
        <v>0.626</v>
      </c>
      <c r="P168" s="25">
        <f>'Fiscal Forecasts'!P$166</f>
        <v>0.58699999999999997</v>
      </c>
      <c r="Q168" s="25">
        <f>'Fiscal Forecasts'!Q$166</f>
        <v>0.56599999999999995</v>
      </c>
      <c r="R168" s="25">
        <f>'Fiscal Forecasts'!R$166</f>
        <v>0.54300000000000004</v>
      </c>
      <c r="S168" s="25">
        <f>'Fiscal Forecasts'!S$166</f>
        <v>0.54300000000000004</v>
      </c>
      <c r="T168" s="11">
        <f t="shared" ref="T168:AC168" ca="1" si="117">S$168*T$11/S$11</f>
        <v>0.56711607024474953</v>
      </c>
      <c r="U168" s="11">
        <f t="shared" ca="1" si="117"/>
        <v>0.59225666089346041</v>
      </c>
      <c r="V168" s="11">
        <f t="shared" ca="1" si="117"/>
        <v>0.61884330999936366</v>
      </c>
      <c r="W168" s="11">
        <f t="shared" ca="1" si="117"/>
        <v>0.64641824902492973</v>
      </c>
      <c r="X168" s="11">
        <f t="shared" ca="1" si="117"/>
        <v>0.67513043372418369</v>
      </c>
      <c r="Y168" s="11">
        <f t="shared" ca="1" si="117"/>
        <v>0.70477092574772959</v>
      </c>
      <c r="Z168" s="11">
        <f t="shared" ca="1" si="117"/>
        <v>0.73527936564527507</v>
      </c>
      <c r="AA168" s="11">
        <f t="shared" ca="1" si="117"/>
        <v>0.76667721776102538</v>
      </c>
      <c r="AB168" s="11">
        <f t="shared" ca="1" si="117"/>
        <v>0.79884323841990801</v>
      </c>
      <c r="AC168" s="11">
        <f t="shared" ca="1" si="117"/>
        <v>0.8319450676819159</v>
      </c>
    </row>
    <row r="169" spans="1:29" x14ac:dyDescent="0.2">
      <c r="A169" s="31" t="s">
        <v>421</v>
      </c>
      <c r="B169" s="4" t="str">
        <f>$B$46</f>
        <v>From Fiscal Forecasts</v>
      </c>
      <c r="F169" s="23">
        <f>'Fiscal Forecasts'!F$13</f>
        <v>2.4209999999999998</v>
      </c>
      <c r="G169" s="23">
        <f>'Fiscal Forecasts'!G$13</f>
        <v>2.6150000000000002</v>
      </c>
      <c r="H169" s="23">
        <f>'Fiscal Forecasts'!H$13</f>
        <v>2.89</v>
      </c>
      <c r="I169" s="23">
        <f>'Fiscal Forecasts'!I$13</f>
        <v>3.05</v>
      </c>
      <c r="J169" s="23">
        <f>'Fiscal Forecasts'!J$13</f>
        <v>7.5</v>
      </c>
      <c r="K169" s="23">
        <f>'Fiscal Forecasts'!K$13</f>
        <v>4.1399999999999997</v>
      </c>
      <c r="L169" s="23">
        <f>'Fiscal Forecasts'!L$13</f>
        <v>3.6970000000000001</v>
      </c>
      <c r="M169" s="23">
        <f>'Fiscal Forecasts'!M$13</f>
        <v>3.42</v>
      </c>
      <c r="N169" s="23">
        <f>'Fiscal Forecasts'!N$13</f>
        <v>3.6150000000000002</v>
      </c>
      <c r="O169" s="25">
        <f>'Fiscal Forecasts'!O$13</f>
        <v>3.5920000000000001</v>
      </c>
      <c r="P169" s="25">
        <f>'Fiscal Forecasts'!P$13</f>
        <v>3.6989999999999998</v>
      </c>
      <c r="Q169" s="25">
        <f>'Fiscal Forecasts'!Q$13</f>
        <v>3.7519999999999998</v>
      </c>
      <c r="R169" s="25">
        <f>'Fiscal Forecasts'!R$13</f>
        <v>3.798</v>
      </c>
      <c r="S169" s="25">
        <f>'Fiscal Forecasts'!S$13</f>
        <v>3.8420000000000001</v>
      </c>
      <c r="T169" s="11">
        <f t="shared" ref="T169:AC169" ca="1" si="118">SUM(T$168,(S$169-S$168)*T$11/S$11)</f>
        <v>4.0126334104610084</v>
      </c>
      <c r="U169" s="11">
        <f t="shared" ca="1" si="118"/>
        <v>4.1905158216439684</v>
      </c>
      <c r="V169" s="11">
        <f t="shared" ca="1" si="118"/>
        <v>4.3786298287616114</v>
      </c>
      <c r="W169" s="11">
        <f t="shared" ca="1" si="118"/>
        <v>4.5737364875760225</v>
      </c>
      <c r="X169" s="11">
        <f t="shared" ca="1" si="118"/>
        <v>4.7768897354849242</v>
      </c>
      <c r="Y169" s="11">
        <f t="shared" ca="1" si="118"/>
        <v>4.9866112278504193</v>
      </c>
      <c r="Z169" s="11">
        <f t="shared" ca="1" si="118"/>
        <v>5.2024738909929047</v>
      </c>
      <c r="AA169" s="11">
        <f t="shared" ca="1" si="118"/>
        <v>5.4246295960181588</v>
      </c>
      <c r="AB169" s="11">
        <f t="shared" ca="1" si="118"/>
        <v>5.6522204825217077</v>
      </c>
      <c r="AC169" s="11">
        <f t="shared" ca="1" si="118"/>
        <v>5.8864326888285854</v>
      </c>
    </row>
    <row r="170" spans="1:29" x14ac:dyDescent="0.2">
      <c r="F170" s="79"/>
      <c r="G170" s="79"/>
      <c r="H170" s="79"/>
      <c r="I170" s="79"/>
      <c r="J170" s="79"/>
      <c r="K170" s="79"/>
      <c r="L170" s="79"/>
      <c r="M170" s="79"/>
      <c r="N170" s="79"/>
    </row>
    <row r="171" spans="1:29" x14ac:dyDescent="0.2">
      <c r="A171" s="31" t="s">
        <v>229</v>
      </c>
    </row>
    <row r="172" spans="1:29" x14ac:dyDescent="0.2">
      <c r="A172" s="3" t="s">
        <v>422</v>
      </c>
      <c r="B172" s="4" t="str">
        <f t="shared" ref="B172:B183" si="119">$B$46</f>
        <v>From Fiscal Forecasts</v>
      </c>
      <c r="F172" s="21">
        <f>'Fiscal Forecasts'!F$223</f>
        <v>6.81</v>
      </c>
      <c r="G172" s="21">
        <f>'Fiscal Forecasts'!G$223</f>
        <v>7.3479999999999999</v>
      </c>
      <c r="H172" s="21">
        <f>'Fiscal Forecasts'!H$223</f>
        <v>7.7439999999999998</v>
      </c>
      <c r="I172" s="21">
        <f>'Fiscal Forecasts'!I$223</f>
        <v>8.2899999999999991</v>
      </c>
      <c r="J172" s="21">
        <f>'Fiscal Forecasts'!J$223</f>
        <v>8.83</v>
      </c>
      <c r="K172" s="21">
        <f>'Fiscal Forecasts'!K$223</f>
        <v>9.5839999999999996</v>
      </c>
      <c r="L172" s="21">
        <f>'Fiscal Forecasts'!L$223</f>
        <v>10.234999999999999</v>
      </c>
      <c r="M172" s="21">
        <f>'Fiscal Forecasts'!M$223</f>
        <v>10.913</v>
      </c>
      <c r="N172" s="21">
        <f>'Fiscal Forecasts'!N$223</f>
        <v>11.590999999999999</v>
      </c>
      <c r="O172" s="24">
        <f>'Fiscal Forecasts'!O$223</f>
        <v>12.223000000000001</v>
      </c>
      <c r="P172" s="24">
        <f>'Fiscal Forecasts'!P$223</f>
        <v>12.86</v>
      </c>
      <c r="Q172" s="24">
        <f>'Fiscal Forecasts'!Q$223</f>
        <v>13.522</v>
      </c>
      <c r="R172" s="24">
        <f>'Fiscal Forecasts'!R$223</f>
        <v>14.234</v>
      </c>
      <c r="S172" s="24">
        <f>'Fiscal Forecasts'!S$223</f>
        <v>15.071999999999999</v>
      </c>
      <c r="T172" s="26">
        <f ca="1">S$172*(1+Popn!T$245)*T$199/S$199</f>
        <v>15.906874639079568</v>
      </c>
      <c r="U172" s="26">
        <f ca="1">T$172*(1+Popn!U$245)*U$199/T$199</f>
        <v>16.871383988343087</v>
      </c>
      <c r="V172" s="26">
        <f ca="1">U$172*(1+Popn!V$245)*V$199/U$199</f>
        <v>18.040348471917785</v>
      </c>
      <c r="W172" s="26">
        <f ca="1">V$172*(1+Popn!W$245)*W$199/V$199</f>
        <v>19.31109792801027</v>
      </c>
      <c r="X172" s="26">
        <f ca="1">W$172*(1+Popn!X$245)*X$199/W$199</f>
        <v>20.653449016059184</v>
      </c>
      <c r="Y172" s="26">
        <f ca="1">X$172*(1+Popn!Y$245)*Y$199/X$199</f>
        <v>22.100638461439218</v>
      </c>
      <c r="Z172" s="26">
        <f ca="1">Y$172*(1+Popn!Z$245)*Z$199/Y$199</f>
        <v>23.644154881542111</v>
      </c>
      <c r="AA172" s="26">
        <f ca="1">Z$172*(1+Popn!AA$245)*AA$199/Z$199</f>
        <v>25.243664993036411</v>
      </c>
      <c r="AB172" s="26">
        <f ca="1">AA$172*(1+Popn!AB$245)*AB$199/AA$199</f>
        <v>26.884498275113874</v>
      </c>
      <c r="AC172" s="26">
        <f ca="1">AB$172*(1+Popn!AC$245)*AC$199/AB$199</f>
        <v>28.529475948927342</v>
      </c>
    </row>
    <row r="173" spans="1:29" x14ac:dyDescent="0.2">
      <c r="A173" s="3" t="s">
        <v>423</v>
      </c>
      <c r="B173" s="4" t="str">
        <f t="shared" si="119"/>
        <v>From Fiscal Forecasts</v>
      </c>
      <c r="F173" s="21">
        <f>'Fiscal Forecasts'!F$224</f>
        <v>0</v>
      </c>
      <c r="G173" s="21">
        <f>'Fiscal Forecasts'!G$224</f>
        <v>0</v>
      </c>
      <c r="H173" s="21">
        <f>'Fiscal Forecasts'!H$224</f>
        <v>0</v>
      </c>
      <c r="I173" s="21">
        <f>'Fiscal Forecasts'!I$224</f>
        <v>0</v>
      </c>
      <c r="J173" s="21">
        <f>'Fiscal Forecasts'!J$224</f>
        <v>0</v>
      </c>
      <c r="K173" s="21">
        <f>'Fiscal Forecasts'!K$224</f>
        <v>0</v>
      </c>
      <c r="L173" s="21">
        <f>'Fiscal Forecasts'!L$224</f>
        <v>0</v>
      </c>
      <c r="M173" s="21">
        <f>'Fiscal Forecasts'!M$224</f>
        <v>1.6910000000000001</v>
      </c>
      <c r="N173" s="21">
        <f>'Fiscal Forecasts'!N$224</f>
        <v>1.6839999999999999</v>
      </c>
      <c r="O173" s="24">
        <f>'Fiscal Forecasts'!O$224</f>
        <v>1.6759999999999999</v>
      </c>
      <c r="P173" s="24">
        <f>'Fiscal Forecasts'!P$224</f>
        <v>1.718</v>
      </c>
      <c r="Q173" s="24">
        <f>'Fiscal Forecasts'!Q$224</f>
        <v>1.6779999999999999</v>
      </c>
      <c r="R173" s="24">
        <f>'Fiscal Forecasts'!R$224</f>
        <v>1.597</v>
      </c>
      <c r="S173" s="24">
        <f>'Fiscal Forecasts'!S$224</f>
        <v>1.591</v>
      </c>
      <c r="T173" s="26">
        <f ca="1">S$173*SUM(1,SUMPRODUCT(Popn!T$211:T$221,Tracks!$C$52:$C$62),SUMPRODUCT(Popn!T$228:T$238,Tracks!$D$52:$D$62))*AVERAGE(1,(T$15*T$20)/(S$15*S$20))*T$29/S$29</f>
        <v>1.6291150791070699</v>
      </c>
      <c r="U173" s="26">
        <f ca="1">T$173*SUM(1,SUMPRODUCT(Popn!U$211:U$221,Tracks!$C$52:$C$62),SUMPRODUCT(Popn!U$228:U$238,Tracks!$D$52:$D$62))*AVERAGE(1,(U$15*U$20)/(T$15*T$20))*U$29/T$29</f>
        <v>1.6745999798614801</v>
      </c>
      <c r="V173" s="26">
        <f ca="1">U$173*SUM(1,SUMPRODUCT(Popn!V$211:V$221,Tracks!$C$52:$C$62),SUMPRODUCT(Popn!V$228:V$238,Tracks!$D$52:$D$62))*AVERAGE(1,(V$15*V$20)/(U$15*U$20))*V$29/U$29</f>
        <v>1.7205772837241546</v>
      </c>
      <c r="W173" s="26">
        <f ca="1">V$173*SUM(1,SUMPRODUCT(Popn!W$211:W$221,Tracks!$C$52:$C$62),SUMPRODUCT(Popn!W$228:W$238,Tracks!$D$52:$D$62))*AVERAGE(1,(W$15*W$20)/(V$15*V$20))*W$29/V$29</f>
        <v>1.7674333096782036</v>
      </c>
      <c r="X173" s="26">
        <f ca="1">W$173*SUM(1,SUMPRODUCT(Popn!X$211:X$221,Tracks!$C$52:$C$62),SUMPRODUCT(Popn!X$228:X$238,Tracks!$D$52:$D$62))*AVERAGE(1,(X$15*X$20)/(W$15*W$20))*X$29/W$29</f>
        <v>1.8167589434825198</v>
      </c>
      <c r="Y173" s="26">
        <f ca="1">X$173*SUM(1,SUMPRODUCT(Popn!Y$211:Y$221,Tracks!$C$52:$C$62),SUMPRODUCT(Popn!Y$228:Y$238,Tracks!$D$52:$D$62))*AVERAGE(1,(Y$15*Y$20)/(X$15*X$20))*Y$29/X$29</f>
        <v>1.8678558021297231</v>
      </c>
      <c r="Z173" s="26">
        <f ca="1">Y$173*SUM(1,SUMPRODUCT(Popn!Z$211:Z$221,Tracks!$C$52:$C$62),SUMPRODUCT(Popn!Z$228:Z$238,Tracks!$D$52:$D$62))*AVERAGE(1,(Z$15*Z$20)/(Y$15*Y$20))*Z$29/Y$29</f>
        <v>1.9197979738086437</v>
      </c>
      <c r="AA173" s="26">
        <f ca="1">Z$173*SUM(1,SUMPRODUCT(Popn!AA$211:AA$221,Tracks!$C$52:$C$62),SUMPRODUCT(Popn!AA$228:AA$238,Tracks!$D$52:$D$62))*AVERAGE(1,(AA$15*AA$20)/(Z$15*Z$20))*AA$29/Z$29</f>
        <v>1.9741373860501119</v>
      </c>
      <c r="AB173" s="26">
        <f ca="1">AA$173*SUM(1,SUMPRODUCT(Popn!AB$211:AB$221,Tracks!$C$52:$C$62),SUMPRODUCT(Popn!AB$228:AB$238,Tracks!$D$52:$D$62))*AVERAGE(1,(AB$15*AB$20)/(AA$15*AA$20))*AB$29/AA$29</f>
        <v>2.0287928830992774</v>
      </c>
      <c r="AC173" s="26">
        <f ca="1">AB$173*SUM(1,SUMPRODUCT(Popn!AC$211:AC$221,Tracks!$C$52:$C$62),SUMPRODUCT(Popn!AC$228:AC$238,Tracks!$D$52:$D$62))*AVERAGE(1,(AC$15*AC$20)/(AB$15*AB$20))*AC$29/AB$29</f>
        <v>2.0850529007569296</v>
      </c>
    </row>
    <row r="174" spans="1:29" x14ac:dyDescent="0.2">
      <c r="A174" s="3" t="s">
        <v>152</v>
      </c>
      <c r="B174" s="4" t="str">
        <f t="shared" si="119"/>
        <v>From Fiscal Forecasts</v>
      </c>
      <c r="F174" s="21">
        <f>'Fiscal Forecasts'!F$225</f>
        <v>0</v>
      </c>
      <c r="G174" s="21">
        <f>'Fiscal Forecasts'!G$225</f>
        <v>0</v>
      </c>
      <c r="H174" s="21">
        <f>'Fiscal Forecasts'!H$225</f>
        <v>0</v>
      </c>
      <c r="I174" s="21">
        <f>'Fiscal Forecasts'!I$225</f>
        <v>0</v>
      </c>
      <c r="J174" s="21">
        <f>'Fiscal Forecasts'!J$225</f>
        <v>0</v>
      </c>
      <c r="K174" s="21">
        <f>'Fiscal Forecasts'!K$225</f>
        <v>0</v>
      </c>
      <c r="L174" s="21">
        <f>'Fiscal Forecasts'!L$225</f>
        <v>0</v>
      </c>
      <c r="M174" s="21">
        <f>'Fiscal Forecasts'!M$225</f>
        <v>1.4219999999999999</v>
      </c>
      <c r="N174" s="21">
        <f>'Fiscal Forecasts'!N$225</f>
        <v>1.5149999999999999</v>
      </c>
      <c r="O174" s="24">
        <f>'Fiscal Forecasts'!O$225</f>
        <v>1.526</v>
      </c>
      <c r="P174" s="24">
        <f>'Fiscal Forecasts'!P$225</f>
        <v>1.538</v>
      </c>
      <c r="Q174" s="24">
        <f>'Fiscal Forecasts'!Q$225</f>
        <v>1.5449999999999999</v>
      </c>
      <c r="R174" s="24">
        <f>'Fiscal Forecasts'!R$225</f>
        <v>1.57</v>
      </c>
      <c r="S174" s="24">
        <f>'Fiscal Forecasts'!S$225</f>
        <v>1.6020000000000001</v>
      </c>
      <c r="T174" s="26">
        <f ca="1">S$174*SUM(1,SUMPRODUCT(Popn!T$211:T$221,Tracks!$I$52:$I$62),SUMPRODUCT(Popn!T$228:T$238,Tracks!$J$52:$J$62))*T$29/S$29</f>
        <v>1.6425709294567723</v>
      </c>
      <c r="U174" s="26">
        <f ca="1">T$174*SUM(1,SUMPRODUCT(Popn!U$211:U$221,Tracks!$I$52:$I$62),SUMPRODUCT(Popn!U$228:U$238,Tracks!$J$52:$J$62))*U$29/T$29</f>
        <v>1.6824604356771771</v>
      </c>
      <c r="V174" s="26">
        <f ca="1">U$174*SUM(1,SUMPRODUCT(Popn!V$211:V$221,Tracks!$I$52:$I$62),SUMPRODUCT(Popn!V$228:V$238,Tracks!$J$52:$J$62))*V$29/U$29</f>
        <v>1.7223337296900927</v>
      </c>
      <c r="W174" s="26">
        <f ca="1">V$174*SUM(1,SUMPRODUCT(Popn!W$211:W$221,Tracks!$I$52:$I$62),SUMPRODUCT(Popn!W$228:W$238,Tracks!$J$52:$J$62))*W$29/V$29</f>
        <v>1.7606856765394954</v>
      </c>
      <c r="X174" s="26">
        <f ca="1">W$174*SUM(1,SUMPRODUCT(Popn!X$211:X$221,Tracks!$I$52:$I$62),SUMPRODUCT(Popn!X$228:X$238,Tracks!$J$52:$J$62))*X$29/W$29</f>
        <v>1.7999076836027632</v>
      </c>
      <c r="Y174" s="26">
        <f ca="1">X$174*SUM(1,SUMPRODUCT(Popn!Y$211:Y$221,Tracks!$I$52:$I$62),SUMPRODUCT(Popn!Y$228:Y$238,Tracks!$J$52:$J$62))*Y$29/X$29</f>
        <v>1.8385257864405746</v>
      </c>
      <c r="Z174" s="26">
        <f ca="1">Y$174*SUM(1,SUMPRODUCT(Popn!Z$211:Z$221,Tracks!$I$52:$I$62),SUMPRODUCT(Popn!Z$228:Z$238,Tracks!$J$52:$J$62))*Z$29/Y$29</f>
        <v>1.8763157492334341</v>
      </c>
      <c r="AA174" s="26">
        <f ca="1">Z$174*SUM(1,SUMPRODUCT(Popn!AA$211:AA$221,Tracks!$I$52:$I$62),SUMPRODUCT(Popn!AA$228:AA$238,Tracks!$J$52:$J$62))*AA$29/Z$29</f>
        <v>1.915600222617889</v>
      </c>
      <c r="AB174" s="26">
        <f ca="1">AA$174*SUM(1,SUMPRODUCT(Popn!AB$211:AB$221,Tracks!$I$52:$I$62),SUMPRODUCT(Popn!AB$228:AB$238,Tracks!$J$52:$J$62))*AB$29/AA$29</f>
        <v>1.9568352805307347</v>
      </c>
      <c r="AC174" s="26">
        <f ca="1">AB$174*SUM(1,SUMPRODUCT(Popn!AC$211:AC$221,Tracks!$I$52:$I$62),SUMPRODUCT(Popn!AC$228:AC$238,Tracks!$J$52:$J$62))*AC$29/AB$29</f>
        <v>2.0016009480647976</v>
      </c>
    </row>
    <row r="175" spans="1:29" x14ac:dyDescent="0.2">
      <c r="A175" s="3" t="s">
        <v>151</v>
      </c>
      <c r="B175" s="4" t="str">
        <f t="shared" si="119"/>
        <v>From Fiscal Forecasts</v>
      </c>
      <c r="F175" s="21">
        <f>'Fiscal Forecasts'!F$226</f>
        <v>0</v>
      </c>
      <c r="G175" s="21">
        <f>'Fiscal Forecasts'!G$226</f>
        <v>0</v>
      </c>
      <c r="H175" s="21">
        <f>'Fiscal Forecasts'!H$226</f>
        <v>0</v>
      </c>
      <c r="I175" s="21">
        <f>'Fiscal Forecasts'!I$226</f>
        <v>0</v>
      </c>
      <c r="J175" s="21">
        <f>'Fiscal Forecasts'!J$226</f>
        <v>0</v>
      </c>
      <c r="K175" s="21">
        <f>'Fiscal Forecasts'!K$226</f>
        <v>0</v>
      </c>
      <c r="L175" s="21">
        <f>'Fiscal Forecasts'!L$226</f>
        <v>0</v>
      </c>
      <c r="M175" s="21">
        <f>'Fiscal Forecasts'!M$226</f>
        <v>1.222</v>
      </c>
      <c r="N175" s="21">
        <f>'Fiscal Forecasts'!N$226</f>
        <v>1.1859999999999999</v>
      </c>
      <c r="O175" s="24">
        <f>'Fiscal Forecasts'!O$226</f>
        <v>1.157</v>
      </c>
      <c r="P175" s="24">
        <f>'Fiscal Forecasts'!P$226</f>
        <v>1.254</v>
      </c>
      <c r="Q175" s="24">
        <f>'Fiscal Forecasts'!Q$226</f>
        <v>1.2529999999999999</v>
      </c>
      <c r="R175" s="24">
        <f>'Fiscal Forecasts'!R$226</f>
        <v>1.242</v>
      </c>
      <c r="S175" s="24">
        <f>'Fiscal Forecasts'!S$226</f>
        <v>1.25</v>
      </c>
      <c r="T175" s="26">
        <f ca="1">S$175*SUM(1,SUMPRODUCT(Popn!T$211:T$221,Tracks!$F$52:$F$62),SUMPRODUCT(Popn!T$228:T$238,Tracks!$G$52:$G$62))*T$29/S$29</f>
        <v>1.2794083801830918</v>
      </c>
      <c r="U175" s="26">
        <f ca="1">T$175*SUM(1,SUMPRODUCT(Popn!U$211:U$221,Tracks!$F$52:$F$62),SUMPRODUCT(Popn!U$228:U$238,Tracks!$G$52:$G$62))*U$29/T$29</f>
        <v>1.3074062399197681</v>
      </c>
      <c r="V175" s="26">
        <f ca="1">U$175*SUM(1,SUMPRODUCT(Popn!V$211:V$221,Tracks!$F$52:$F$62),SUMPRODUCT(Popn!V$228:V$238,Tracks!$G$52:$G$62))*V$29/U$29</f>
        <v>1.3352634689213654</v>
      </c>
      <c r="W175" s="26">
        <f ca="1">V$175*SUM(1,SUMPRODUCT(Popn!W$211:W$221,Tracks!$F$52:$F$62),SUMPRODUCT(Popn!W$228:W$238,Tracks!$G$52:$G$62))*W$29/V$29</f>
        <v>1.3643880629728922</v>
      </c>
      <c r="X175" s="26">
        <f ca="1">W$175*SUM(1,SUMPRODUCT(Popn!X$211:X$221,Tracks!$F$52:$F$62),SUMPRODUCT(Popn!X$228:X$238,Tracks!$G$52:$G$62))*X$29/W$29</f>
        <v>1.3942999001718552</v>
      </c>
      <c r="Y175" s="26">
        <f ca="1">X$175*SUM(1,SUMPRODUCT(Popn!Y$211:Y$221,Tracks!$F$52:$F$62),SUMPRODUCT(Popn!Y$228:Y$238,Tracks!$G$52:$G$62))*Y$29/X$29</f>
        <v>1.4262990497335375</v>
      </c>
      <c r="Z175" s="26">
        <f ca="1">Y$175*SUM(1,SUMPRODUCT(Popn!Z$211:Z$221,Tracks!$F$52:$F$62),SUMPRODUCT(Popn!Z$228:Z$238,Tracks!$G$52:$G$62))*Z$29/Y$29</f>
        <v>1.4599524162262101</v>
      </c>
      <c r="AA175" s="26">
        <f ca="1">Z$175*SUM(1,SUMPRODUCT(Popn!AA$211:AA$221,Tracks!$F$52:$F$62),SUMPRODUCT(Popn!AA$228:AA$238,Tracks!$G$52:$G$62))*AA$29/Z$29</f>
        <v>1.4964961605280462</v>
      </c>
      <c r="AB175" s="26">
        <f ca="1">AA$175*SUM(1,SUMPRODUCT(Popn!AB$211:AB$221,Tracks!$F$52:$F$62),SUMPRODUCT(Popn!AB$228:AB$238,Tracks!$G$52:$G$62))*AB$29/AA$29</f>
        <v>1.533464599831464</v>
      </c>
      <c r="AC175" s="26">
        <f ca="1">AB$175*SUM(1,SUMPRODUCT(Popn!AC$211:AC$221,Tracks!$F$52:$F$62),SUMPRODUCT(Popn!AC$228:AC$238,Tracks!$G$52:$G$62))*AC$29/AB$29</f>
        <v>1.5712565397526803</v>
      </c>
    </row>
    <row r="176" spans="1:29" x14ac:dyDescent="0.2">
      <c r="A176" s="3" t="s">
        <v>424</v>
      </c>
      <c r="B176" s="4" t="str">
        <f t="shared" si="119"/>
        <v>From Fiscal Forecasts</v>
      </c>
      <c r="F176" s="21">
        <f>'Fiscal Forecasts'!F$227</f>
        <v>3.786</v>
      </c>
      <c r="G176" s="21">
        <f>'Fiscal Forecasts'!G$227</f>
        <v>3.734</v>
      </c>
      <c r="H176" s="21">
        <f>'Fiscal Forecasts'!H$227</f>
        <v>3.9890000000000003</v>
      </c>
      <c r="I176" s="21">
        <f>'Fiscal Forecasts'!I$227</f>
        <v>4.6360000000000001</v>
      </c>
      <c r="J176" s="21">
        <f>'Fiscal Forecasts'!J$227</f>
        <v>4.7490000000000006</v>
      </c>
      <c r="K176" s="21">
        <f>'Fiscal Forecasts'!K$227</f>
        <v>4.7939999999999996</v>
      </c>
      <c r="L176" s="21">
        <f>'Fiscal Forecasts'!L$227</f>
        <v>4.6619999999999999</v>
      </c>
      <c r="M176" s="21">
        <f>'Fiscal Forecasts'!M$227</f>
        <v>0.17299999999999999</v>
      </c>
      <c r="N176" s="21">
        <f>'Fiscal Forecasts'!N$227</f>
        <v>0</v>
      </c>
      <c r="O176" s="24">
        <f>'Fiscal Forecasts'!O$227</f>
        <v>0</v>
      </c>
      <c r="P176" s="24">
        <f>'Fiscal Forecasts'!P$227</f>
        <v>0</v>
      </c>
      <c r="Q176" s="24">
        <f>'Fiscal Forecasts'!Q$227</f>
        <v>0</v>
      </c>
      <c r="R176" s="24">
        <f>'Fiscal Forecasts'!R$227</f>
        <v>0</v>
      </c>
      <c r="S176" s="24">
        <f>'Fiscal Forecasts'!S$227</f>
        <v>0</v>
      </c>
      <c r="T176" s="26">
        <f ca="1">IF(T$4=OFFSET(Choices!$B$10,0,$C$1),0,S$176)</f>
        <v>0</v>
      </c>
      <c r="U176" s="26">
        <f ca="1">IF(U$4=OFFSET(Choices!$B$10,0,$C$1),0,T$176)</f>
        <v>0</v>
      </c>
      <c r="V176" s="26">
        <f ca="1">IF(V$4=OFFSET(Choices!$B$10,0,$C$1),0,U$176)</f>
        <v>0</v>
      </c>
      <c r="W176" s="26">
        <f ca="1">IF(W$4=OFFSET(Choices!$B$10,0,$C$1),0,V$176)</f>
        <v>0</v>
      </c>
      <c r="X176" s="26">
        <f ca="1">IF(X$4=OFFSET(Choices!$B$10,0,$C$1),0,W$176)</f>
        <v>0</v>
      </c>
      <c r="Y176" s="26">
        <f ca="1">IF(Y$4=OFFSET(Choices!$B$10,0,$C$1),0,X$176)</f>
        <v>0</v>
      </c>
      <c r="Z176" s="26">
        <f ca="1">IF(Z$4=OFFSET(Choices!$B$10,0,$C$1),0,Y$176)</f>
        <v>0</v>
      </c>
      <c r="AA176" s="26">
        <f ca="1">IF(AA$4=OFFSET(Choices!$B$10,0,$C$1),0,Z$176)</f>
        <v>0</v>
      </c>
      <c r="AB176" s="26">
        <f ca="1">IF(AB$4=OFFSET(Choices!$B$10,0,$C$1),0,AA$176)</f>
        <v>0</v>
      </c>
      <c r="AC176" s="26">
        <f ca="1">IF(AC$4=OFFSET(Choices!$B$10,0,$C$1),0,AB$176)</f>
        <v>0</v>
      </c>
    </row>
    <row r="177" spans="1:29" x14ac:dyDescent="0.2">
      <c r="A177" s="3" t="s">
        <v>429</v>
      </c>
      <c r="B177" s="4" t="str">
        <f t="shared" si="119"/>
        <v>From Fiscal Forecasts</v>
      </c>
      <c r="F177" s="21">
        <f>'Fiscal Forecasts'!F$228</f>
        <v>1.6890000000000001</v>
      </c>
      <c r="G177" s="21">
        <f>'Fiscal Forecasts'!G$228</f>
        <v>1.88</v>
      </c>
      <c r="H177" s="21">
        <f>'Fiscal Forecasts'!H$228</f>
        <v>2.0529999999999999</v>
      </c>
      <c r="I177" s="21">
        <f>'Fiscal Forecasts'!I$228</f>
        <v>2.1589999999999998</v>
      </c>
      <c r="J177" s="21">
        <f>'Fiscal Forecasts'!J$228</f>
        <v>2.13</v>
      </c>
      <c r="K177" s="21">
        <f>'Fiscal Forecasts'!K$228</f>
        <v>2.0710000000000002</v>
      </c>
      <c r="L177" s="21">
        <f>'Fiscal Forecasts'!L$228</f>
        <v>2.0179999999999998</v>
      </c>
      <c r="M177" s="21">
        <f>'Fiscal Forecasts'!M$228</f>
        <v>1.9650000000000001</v>
      </c>
      <c r="N177" s="21">
        <f>'Fiscal Forecasts'!N$228</f>
        <v>1.8540000000000001</v>
      </c>
      <c r="O177" s="24">
        <f>'Fiscal Forecasts'!O$228</f>
        <v>1.8340000000000001</v>
      </c>
      <c r="P177" s="24">
        <f>'Fiscal Forecasts'!P$228</f>
        <v>1.851</v>
      </c>
      <c r="Q177" s="24">
        <f>'Fiscal Forecasts'!Q$228</f>
        <v>1.948</v>
      </c>
      <c r="R177" s="24">
        <f>'Fiscal Forecasts'!R$228</f>
        <v>1.9910000000000001</v>
      </c>
      <c r="S177" s="24">
        <f>'Fiscal Forecasts'!S$228</f>
        <v>2.1</v>
      </c>
      <c r="T177" s="26">
        <f t="shared" ref="T177:AC177" ca="1" si="120">S$177*T$17/S$17*T$29/S$29</f>
        <v>2.1646141439286182</v>
      </c>
      <c r="U177" s="26">
        <f t="shared" ca="1" si="120"/>
        <v>2.2313916297299525</v>
      </c>
      <c r="V177" s="26">
        <f t="shared" ca="1" si="120"/>
        <v>2.3010902811216636</v>
      </c>
      <c r="W177" s="26">
        <f t="shared" ca="1" si="120"/>
        <v>2.3721297995840218</v>
      </c>
      <c r="X177" s="26">
        <f t="shared" ca="1" si="120"/>
        <v>2.4452869386906695</v>
      </c>
      <c r="Y177" s="26">
        <f t="shared" ca="1" si="120"/>
        <v>2.5190125997763806</v>
      </c>
      <c r="Z177" s="26">
        <f t="shared" ca="1" si="120"/>
        <v>2.5936809099301299</v>
      </c>
      <c r="AA177" s="26">
        <f t="shared" ca="1" si="120"/>
        <v>2.6691405183166266</v>
      </c>
      <c r="AB177" s="26">
        <f t="shared" ca="1" si="120"/>
        <v>2.7450278889001707</v>
      </c>
      <c r="AC177" s="26">
        <f t="shared" ca="1" si="120"/>
        <v>2.821778750608658</v>
      </c>
    </row>
    <row r="178" spans="1:29" x14ac:dyDescent="0.2">
      <c r="A178" s="3" t="s">
        <v>425</v>
      </c>
      <c r="B178" s="4" t="str">
        <f t="shared" si="119"/>
        <v>From Fiscal Forecasts</v>
      </c>
      <c r="F178" s="21">
        <f>'Fiscal Forecasts'!F$229</f>
        <v>0.53600000000000003</v>
      </c>
      <c r="G178" s="21">
        <f>'Fiscal Forecasts'!G$229</f>
        <v>0.61399999999999999</v>
      </c>
      <c r="H178" s="21">
        <f>'Fiscal Forecasts'!H$229</f>
        <v>0.62</v>
      </c>
      <c r="I178" s="21">
        <f>'Fiscal Forecasts'!I$229</f>
        <v>0.628</v>
      </c>
      <c r="J178" s="21">
        <f>'Fiscal Forecasts'!J$229</f>
        <v>0.61599999999999999</v>
      </c>
      <c r="K178" s="21">
        <f>'Fiscal Forecasts'!K$229</f>
        <v>0.59899999999999998</v>
      </c>
      <c r="L178" s="21">
        <f>'Fiscal Forecasts'!L$229</f>
        <v>0.57499999999999996</v>
      </c>
      <c r="M178" s="21">
        <f>'Fiscal Forecasts'!M$229</f>
        <v>0.56699999999999995</v>
      </c>
      <c r="N178" s="21">
        <f>'Fiscal Forecasts'!N$229</f>
        <v>0.54900000000000004</v>
      </c>
      <c r="O178" s="24">
        <f>'Fiscal Forecasts'!O$229</f>
        <v>0.56699999999999995</v>
      </c>
      <c r="P178" s="24">
        <f>'Fiscal Forecasts'!P$229</f>
        <v>0.64500000000000002</v>
      </c>
      <c r="Q178" s="24">
        <f>'Fiscal Forecasts'!Q$229</f>
        <v>0.63800000000000001</v>
      </c>
      <c r="R178" s="24">
        <f>'Fiscal Forecasts'!R$229</f>
        <v>0.629</v>
      </c>
      <c r="S178" s="24">
        <f>'Fiscal Forecasts'!S$229</f>
        <v>0.628</v>
      </c>
      <c r="T178" s="26">
        <f t="shared" ref="T178:AC178" ca="1" si="121">S$178*T$17/S$17*T$29/S$29</f>
        <v>0.64732270589865326</v>
      </c>
      <c r="U178" s="26">
        <f t="shared" ca="1" si="121"/>
        <v>0.66729235403352849</v>
      </c>
      <c r="V178" s="26">
        <f t="shared" ca="1" si="121"/>
        <v>0.68813556978304979</v>
      </c>
      <c r="W178" s="26">
        <f t="shared" ca="1" si="121"/>
        <v>0.7093797686375074</v>
      </c>
      <c r="X178" s="26">
        <f t="shared" ca="1" si="121"/>
        <v>0.73125723690368583</v>
      </c>
      <c r="Y178" s="26">
        <f t="shared" ca="1" si="121"/>
        <v>0.75330472031407947</v>
      </c>
      <c r="Z178" s="26">
        <f t="shared" ca="1" si="121"/>
        <v>0.7756341006838674</v>
      </c>
      <c r="AA178" s="26">
        <f t="shared" ca="1" si="121"/>
        <v>0.79820011690611481</v>
      </c>
      <c r="AB178" s="26">
        <f t="shared" ca="1" si="121"/>
        <v>0.82089405439490803</v>
      </c>
      <c r="AC178" s="26">
        <f t="shared" ca="1" si="121"/>
        <v>0.84384621684868433</v>
      </c>
    </row>
    <row r="179" spans="1:29" x14ac:dyDescent="0.2">
      <c r="A179" s="3" t="s">
        <v>426</v>
      </c>
      <c r="B179" s="4" t="str">
        <f t="shared" si="119"/>
        <v>From Fiscal Forecasts</v>
      </c>
      <c r="F179" s="21">
        <f>'Fiscal Forecasts'!F$230</f>
        <v>0.877</v>
      </c>
      <c r="G179" s="21">
        <f>'Fiscal Forecasts'!G$230</f>
        <v>0.89100000000000001</v>
      </c>
      <c r="H179" s="21">
        <f>'Fiscal Forecasts'!H$230</f>
        <v>0.98899999999999999</v>
      </c>
      <c r="I179" s="21">
        <f>'Fiscal Forecasts'!I$230</f>
        <v>1.1539999999999999</v>
      </c>
      <c r="J179" s="21">
        <f>'Fiscal Forecasts'!J$230</f>
        <v>1.1970000000000001</v>
      </c>
      <c r="K179" s="21">
        <f>'Fiscal Forecasts'!K$230</f>
        <v>1.1950000000000001</v>
      </c>
      <c r="L179" s="21">
        <f>'Fiscal Forecasts'!L$230</f>
        <v>1.177</v>
      </c>
      <c r="M179" s="21">
        <f>'Fiscal Forecasts'!M$230</f>
        <v>1.1459999999999999</v>
      </c>
      <c r="N179" s="21">
        <f>'Fiscal Forecasts'!N$230</f>
        <v>1.129</v>
      </c>
      <c r="O179" s="24">
        <f>'Fiscal Forecasts'!O$230</f>
        <v>1.1539999999999999</v>
      </c>
      <c r="P179" s="24">
        <f>'Fiscal Forecasts'!P$230</f>
        <v>1.1990000000000001</v>
      </c>
      <c r="Q179" s="24">
        <f>'Fiscal Forecasts'!Q$230</f>
        <v>1.222</v>
      </c>
      <c r="R179" s="24">
        <f>'Fiscal Forecasts'!R$230</f>
        <v>1.206</v>
      </c>
      <c r="S179" s="24">
        <f>'Fiscal Forecasts'!S$230</f>
        <v>1.2090000000000001</v>
      </c>
      <c r="T179" s="26">
        <f t="shared" ref="T179:AC179" ca="1" si="122">S$179*T$17/S$17*T$29/S$29</f>
        <v>1.2461992857189041</v>
      </c>
      <c r="U179" s="26">
        <f t="shared" ca="1" si="122"/>
        <v>1.2846440382588153</v>
      </c>
      <c r="V179" s="26">
        <f t="shared" ca="1" si="122"/>
        <v>1.3247705475600431</v>
      </c>
      <c r="W179" s="26">
        <f t="shared" ca="1" si="122"/>
        <v>1.3656690131890865</v>
      </c>
      <c r="X179" s="26">
        <f t="shared" ca="1" si="122"/>
        <v>1.4077866232747707</v>
      </c>
      <c r="Y179" s="26">
        <f t="shared" ca="1" si="122"/>
        <v>1.4502315395855443</v>
      </c>
      <c r="Z179" s="26">
        <f t="shared" ca="1" si="122"/>
        <v>1.4932191524312028</v>
      </c>
      <c r="AA179" s="26">
        <f t="shared" ca="1" si="122"/>
        <v>1.5366623269737143</v>
      </c>
      <c r="AB179" s="26">
        <f t="shared" ca="1" si="122"/>
        <v>1.5803517703239549</v>
      </c>
      <c r="AC179" s="26">
        <f t="shared" ca="1" si="122"/>
        <v>1.6245383378504124</v>
      </c>
    </row>
    <row r="180" spans="1:29" x14ac:dyDescent="0.2">
      <c r="A180" s="3" t="s">
        <v>427</v>
      </c>
      <c r="B180" s="4" t="str">
        <f t="shared" si="119"/>
        <v>From Fiscal Forecasts</v>
      </c>
      <c r="F180" s="21">
        <f>'Fiscal Forecasts'!F$231</f>
        <v>0.434</v>
      </c>
      <c r="G180" s="21">
        <f>'Fiscal Forecasts'!G$231</f>
        <v>0.46500000000000002</v>
      </c>
      <c r="H180" s="21">
        <f>'Fiscal Forecasts'!H$231</f>
        <v>0.504</v>
      </c>
      <c r="I180" s="21">
        <f>'Fiscal Forecasts'!I$231</f>
        <v>0.52200000000000002</v>
      </c>
      <c r="J180" s="21">
        <f>'Fiscal Forecasts'!J$231</f>
        <v>0.55300000000000005</v>
      </c>
      <c r="K180" s="21">
        <f>'Fiscal Forecasts'!K$231</f>
        <v>0.57999999999999996</v>
      </c>
      <c r="L180" s="21">
        <f>'Fiscal Forecasts'!L$231</f>
        <v>0.61099999999999999</v>
      </c>
      <c r="M180" s="21">
        <f>'Fiscal Forecasts'!M$231</f>
        <v>0.66</v>
      </c>
      <c r="N180" s="21">
        <f>'Fiscal Forecasts'!N$231</f>
        <v>0.70299999999999996</v>
      </c>
      <c r="O180" s="24">
        <f>'Fiscal Forecasts'!O$231</f>
        <v>0.77800000000000002</v>
      </c>
      <c r="P180" s="24">
        <f>'Fiscal Forecasts'!P$231</f>
        <v>0.81799999999999995</v>
      </c>
      <c r="Q180" s="24">
        <f>'Fiscal Forecasts'!Q$231</f>
        <v>0.872</v>
      </c>
      <c r="R180" s="24">
        <f>'Fiscal Forecasts'!R$231</f>
        <v>0.92700000000000005</v>
      </c>
      <c r="S180" s="24">
        <f>'Fiscal Forecasts'!S$231</f>
        <v>1.0249999999999999</v>
      </c>
      <c r="T180" s="26">
        <f t="shared" ref="T180:AC180" ca="1" si="123">S$180*T$17/S$17*T$29/S$29</f>
        <v>1.0565378559651586</v>
      </c>
      <c r="U180" s="26">
        <f t="shared" ca="1" si="123"/>
        <v>1.0891316287967621</v>
      </c>
      <c r="V180" s="26">
        <f t="shared" ca="1" si="123"/>
        <v>1.1231512086427164</v>
      </c>
      <c r="W180" s="26">
        <f t="shared" ca="1" si="123"/>
        <v>1.1578252593207723</v>
      </c>
      <c r="X180" s="26">
        <f t="shared" ca="1" si="123"/>
        <v>1.1935329105513979</v>
      </c>
      <c r="Y180" s="26">
        <f t="shared" ca="1" si="123"/>
        <v>1.2295180546527571</v>
      </c>
      <c r="Z180" s="26">
        <f t="shared" ca="1" si="123"/>
        <v>1.2659633012754206</v>
      </c>
      <c r="AA180" s="26">
        <f t="shared" ca="1" si="123"/>
        <v>1.3027947767974011</v>
      </c>
      <c r="AB180" s="26">
        <f t="shared" ca="1" si="123"/>
        <v>1.3398350410107978</v>
      </c>
      <c r="AC180" s="26">
        <f t="shared" ca="1" si="123"/>
        <v>1.3772967711304165</v>
      </c>
    </row>
    <row r="181" spans="1:29" x14ac:dyDescent="0.2">
      <c r="A181" s="3" t="s">
        <v>428</v>
      </c>
      <c r="B181" s="4" t="str">
        <f t="shared" si="119"/>
        <v>From Fiscal Forecasts</v>
      </c>
      <c r="F181" s="21">
        <f>'Fiscal Forecasts'!F$232</f>
        <v>0.34800000000000003</v>
      </c>
      <c r="G181" s="21">
        <f>'Fiscal Forecasts'!G$232</f>
        <v>0.36699999999999999</v>
      </c>
      <c r="H181" s="21">
        <f>'Fiscal Forecasts'!H$232</f>
        <v>0.39</v>
      </c>
      <c r="I181" s="21">
        <f>'Fiscal Forecasts'!I$232</f>
        <v>0.41099999999999998</v>
      </c>
      <c r="J181" s="21">
        <f>'Fiscal Forecasts'!J$232</f>
        <v>0.40899999999999997</v>
      </c>
      <c r="K181" s="21">
        <f>'Fiscal Forecasts'!K$232</f>
        <v>0.40100000000000002</v>
      </c>
      <c r="L181" s="21">
        <f>'Fiscal Forecasts'!L$232</f>
        <v>0.38400000000000001</v>
      </c>
      <c r="M181" s="21">
        <f>'Fiscal Forecasts'!M$232</f>
        <v>0.379</v>
      </c>
      <c r="N181" s="21">
        <f>'Fiscal Forecasts'!N$232</f>
        <v>0.377</v>
      </c>
      <c r="O181" s="24">
        <f>'Fiscal Forecasts'!O$232</f>
        <v>0.378</v>
      </c>
      <c r="P181" s="24">
        <f>'Fiscal Forecasts'!P$232</f>
        <v>0.38</v>
      </c>
      <c r="Q181" s="24">
        <f>'Fiscal Forecasts'!Q$232</f>
        <v>0.38300000000000001</v>
      </c>
      <c r="R181" s="24">
        <f>'Fiscal Forecasts'!R$232</f>
        <v>0.38300000000000001</v>
      </c>
      <c r="S181" s="24">
        <f>'Fiscal Forecasts'!S$232</f>
        <v>0.38700000000000001</v>
      </c>
      <c r="T181" s="26">
        <f ca="1">S$181*(1+AVERAGE(Popn!T$244,Popn!T$245))*T$29/S$29</f>
        <v>0.40243745129564917</v>
      </c>
      <c r="U181" s="26">
        <f ca="1">T$181*(1+AVERAGE(Popn!U$244,Popn!U$245))*U$29/T$29</f>
        <v>0.41837371897384673</v>
      </c>
      <c r="V181" s="26">
        <f ca="1">U$181*(1+AVERAGE(Popn!V$244,Popn!V$245))*V$29/U$29</f>
        <v>0.43481676976375533</v>
      </c>
      <c r="W181" s="26">
        <f ca="1">V$181*(1+AVERAGE(Popn!W$244,Popn!W$245))*W$29/V$29</f>
        <v>0.45194508758889934</v>
      </c>
      <c r="X181" s="26">
        <f ca="1">W$181*(1+AVERAGE(Popn!X$244,Popn!X$245))*X$29/W$29</f>
        <v>0.46954734739950788</v>
      </c>
      <c r="Y181" s="26">
        <f ca="1">X$181*(1+AVERAGE(Popn!Y$244,Popn!Y$245))*Y$29/X$29</f>
        <v>0.4876701299628951</v>
      </c>
      <c r="Z181" s="26">
        <f ca="1">Y$181*(1+AVERAGE(Popn!Z$244,Popn!Z$245))*Z$29/Y$29</f>
        <v>0.50623821897494115</v>
      </c>
      <c r="AA181" s="26">
        <f ca="1">Z$181*(1+AVERAGE(Popn!AA$244,Popn!AA$245))*AA$29/Z$29</f>
        <v>0.52489831580177815</v>
      </c>
      <c r="AB181" s="26">
        <f ca="1">AA$181*(1+AVERAGE(Popn!AB$244,Popn!AB$245))*AB$29/AA$29</f>
        <v>0.54349887082768233</v>
      </c>
      <c r="AC181" s="26">
        <f ca="1">AB$181*(1+AVERAGE(Popn!AC$244,Popn!AC$245))*AC$29/AB$29</f>
        <v>0.56185962626447217</v>
      </c>
    </row>
    <row r="182" spans="1:29" x14ac:dyDescent="0.2">
      <c r="A182" s="3" t="s">
        <v>431</v>
      </c>
      <c r="B182" s="4" t="str">
        <f t="shared" si="119"/>
        <v>From Fiscal Forecasts</v>
      </c>
      <c r="F182" s="21">
        <f>'Fiscal Forecasts'!F$233</f>
        <v>0.38200000000000001</v>
      </c>
      <c r="G182" s="21">
        <f>'Fiscal Forecasts'!G$233</f>
        <v>0.38600000000000001</v>
      </c>
      <c r="H182" s="21">
        <f>'Fiscal Forecasts'!H$233</f>
        <v>0.44400000000000001</v>
      </c>
      <c r="I182" s="21">
        <f>'Fiscal Forecasts'!I$233</f>
        <v>0.56999999999999995</v>
      </c>
      <c r="J182" s="21">
        <f>'Fiscal Forecasts'!J$233</f>
        <v>0.62</v>
      </c>
      <c r="K182" s="21">
        <f>'Fiscal Forecasts'!K$233</f>
        <v>0.64400000000000002</v>
      </c>
      <c r="L182" s="21">
        <f>'Fiscal Forecasts'!L$233</f>
        <v>0.59599999999999997</v>
      </c>
      <c r="M182" s="21">
        <f>'Fiscal Forecasts'!M$233</f>
        <v>0.53900000000000003</v>
      </c>
      <c r="N182" s="21">
        <f>'Fiscal Forecasts'!N$233</f>
        <v>0.51100000000000001</v>
      </c>
      <c r="O182" s="24">
        <f>'Fiscal Forecasts'!O$233</f>
        <v>0.50900000000000001</v>
      </c>
      <c r="P182" s="24">
        <f>'Fiscal Forecasts'!P$233</f>
        <v>0.54500000000000004</v>
      </c>
      <c r="Q182" s="24">
        <f>'Fiscal Forecasts'!Q$233</f>
        <v>0.56100000000000005</v>
      </c>
      <c r="R182" s="24">
        <f>'Fiscal Forecasts'!R$233</f>
        <v>0.56000000000000005</v>
      </c>
      <c r="S182" s="24">
        <f>'Fiscal Forecasts'!S$233</f>
        <v>0.56699999999999995</v>
      </c>
      <c r="T182" s="26">
        <f ca="1">S$182*SUM(1,Popn!T$210*Tracks!$P$61,Popn!T$211*Tracks!$R$61,Popn!T$212*Tracks!$T$61,Popn!T$222*Tracks!$V$61,AVERAGE(Popn!T$223,Popn!T$224)*Tracks!$X$61,Popn!T$227*Tracks!$Q$61,Popn!T$228*Tracks!$S$61,Popn!T$229*Tracks!$U$61,Popn!T$239*Tracks!$W$61,AVERAGE(Popn!T$240,Popn!T$241)*Tracks!$Y$61)*T$29/S$29</f>
        <v>0.57644494637101884</v>
      </c>
      <c r="U182" s="26">
        <f ca="1">T$182*SUM(1,Popn!U$210*Tracks!$P$61,Popn!U$211*Tracks!$R$61,Popn!U$212*Tracks!$T$61,Popn!U$222*Tracks!$V$61,AVERAGE(Popn!U$223,Popn!U$224)*Tracks!$X$61,Popn!U$227*Tracks!$Q$61,Popn!U$228*Tracks!$S$61,Popn!U$229*Tracks!$U$61,Popn!U$239*Tracks!$W$61,AVERAGE(Popn!U$240,Popn!U$241)*Tracks!$Y$61)*U$29/T$29</f>
        <v>0.5883856112264948</v>
      </c>
      <c r="V182" s="26">
        <f ca="1">U$182*SUM(1,Popn!V$210*Tracks!$P$61,Popn!V$211*Tracks!$R$61,Popn!V$212*Tracks!$T$61,Popn!V$222*Tracks!$V$61,AVERAGE(Popn!V$223,Popn!V$224)*Tracks!$X$61,Popn!V$227*Tracks!$Q$61,Popn!V$228*Tracks!$S$61,Popn!V$229*Tracks!$U$61,Popn!V$239*Tracks!$W$61,AVERAGE(Popn!V$240,Popn!V$241)*Tracks!$Y$61)*V$29/U$29</f>
        <v>0.6009522527410287</v>
      </c>
      <c r="W182" s="26">
        <f ca="1">V$182*SUM(1,Popn!W$210*Tracks!$P$61,Popn!W$211*Tracks!$R$61,Popn!W$212*Tracks!$T$61,Popn!W$222*Tracks!$V$61,AVERAGE(Popn!W$223,Popn!W$224)*Tracks!$X$61,Popn!W$227*Tracks!$Q$61,Popn!W$228*Tracks!$S$61,Popn!W$229*Tracks!$U$61,Popn!W$239*Tracks!$W$61,AVERAGE(Popn!W$240,Popn!W$241)*Tracks!$Y$61)*W$29/V$29</f>
        <v>0.61563262190646872</v>
      </c>
      <c r="X182" s="26">
        <f ca="1">W$182*SUM(1,Popn!X$210*Tracks!$P$61,Popn!X$211*Tracks!$R$61,Popn!X$212*Tracks!$T$61,Popn!X$222*Tracks!$V$61,AVERAGE(Popn!X$223,Popn!X$224)*Tracks!$X$61,Popn!X$227*Tracks!$Q$61,Popn!X$228*Tracks!$S$61,Popn!X$229*Tracks!$U$61,Popn!X$239*Tracks!$W$61,AVERAGE(Popn!X$240,Popn!X$241)*Tracks!$Y$61)*X$29/W$29</f>
        <v>0.63255621402860607</v>
      </c>
      <c r="Y182" s="26">
        <f ca="1">X$182*SUM(1,Popn!Y$210*Tracks!$P$61,Popn!Y$211*Tracks!$R$61,Popn!Y$212*Tracks!$T$61,Popn!Y$222*Tracks!$V$61,AVERAGE(Popn!Y$223,Popn!Y$224)*Tracks!$X$61,Popn!Y$227*Tracks!$Q$61,Popn!Y$228*Tracks!$S$61,Popn!Y$229*Tracks!$U$61,Popn!Y$239*Tracks!$W$61,AVERAGE(Popn!Y$240,Popn!Y$241)*Tracks!$Y$61)*Y$29/X$29</f>
        <v>0.65223091048484372</v>
      </c>
      <c r="Z182" s="26">
        <f ca="1">Y$182*SUM(1,Popn!Z$210*Tracks!$P$61,Popn!Z$211*Tracks!$R$61,Popn!Z$212*Tracks!$T$61,Popn!Z$222*Tracks!$V$61,AVERAGE(Popn!Z$223,Popn!Z$224)*Tracks!$X$61,Popn!Z$227*Tracks!$Q$61,Popn!Z$228*Tracks!$S$61,Popn!Z$229*Tracks!$U$61,Popn!Z$239*Tracks!$W$61,AVERAGE(Popn!Z$240,Popn!Z$241)*Tracks!$Y$61)*Z$29/Y$29</f>
        <v>0.67178420967286256</v>
      </c>
      <c r="AA182" s="26">
        <f ca="1">Z$182*SUM(1,Popn!AA$210*Tracks!$P$61,Popn!AA$211*Tracks!$R$61,Popn!AA$212*Tracks!$T$61,Popn!AA$222*Tracks!$V$61,AVERAGE(Popn!AA$223,Popn!AA$224)*Tracks!$X$61,Popn!AA$227*Tracks!$Q$61,Popn!AA$228*Tracks!$S$61,Popn!AA$229*Tracks!$U$61,Popn!AA$239*Tracks!$W$61,AVERAGE(Popn!AA$240,Popn!AA$241)*Tracks!$Y$61)*AA$29/Z$29</f>
        <v>0.69141093822710864</v>
      </c>
      <c r="AB182" s="26">
        <f ca="1">AA$182*SUM(1,Popn!AB$210*Tracks!$P$61,Popn!AB$211*Tracks!$R$61,Popn!AB$212*Tracks!$T$61,Popn!AB$222*Tracks!$V$61,AVERAGE(Popn!AB$223,Popn!AB$224)*Tracks!$X$61,Popn!AB$227*Tracks!$Q$61,Popn!AB$228*Tracks!$S$61,Popn!AB$229*Tracks!$U$61,Popn!AB$239*Tracks!$W$61,AVERAGE(Popn!AB$240,Popn!AB$241)*Tracks!$Y$61)*AB$29/AA$29</f>
        <v>0.70906385721328868</v>
      </c>
      <c r="AC182" s="26">
        <f ca="1">AB$182*SUM(1,Popn!AC$210*Tracks!$P$61,Popn!AC$211*Tracks!$R$61,Popn!AC$212*Tracks!$T$61,Popn!AC$222*Tracks!$V$61,AVERAGE(Popn!AC$223,Popn!AC$224)*Tracks!$X$61,Popn!AC$227*Tracks!$Q$61,Popn!AC$228*Tracks!$S$61,Popn!AC$229*Tracks!$U$61,Popn!AC$239*Tracks!$W$61,AVERAGE(Popn!AC$240,Popn!AC$241)*Tracks!$Y$61)*AC$29/AB$29</f>
        <v>0.72509409583970985</v>
      </c>
    </row>
    <row r="183" spans="1:29" x14ac:dyDescent="0.2">
      <c r="A183" s="3" t="s">
        <v>432</v>
      </c>
      <c r="B183" s="4" t="str">
        <f t="shared" si="119"/>
        <v>From Fiscal Forecasts</v>
      </c>
      <c r="F183" s="21">
        <f>'Fiscal Forecasts'!F$234</f>
        <v>1.1539999999999999</v>
      </c>
      <c r="G183" s="21">
        <f>'Fiscal Forecasts'!G$234</f>
        <v>1.2250000000000001</v>
      </c>
      <c r="H183" s="21">
        <f>'Fiscal Forecasts'!H$234</f>
        <v>1.49</v>
      </c>
      <c r="I183" s="21">
        <f>'Fiscal Forecasts'!I$234</f>
        <v>1.3840000000000001</v>
      </c>
      <c r="J183" s="21">
        <f>'Fiscal Forecasts'!J$234</f>
        <v>1.5309999999999999</v>
      </c>
      <c r="K183" s="21">
        <f>'Fiscal Forecasts'!K$234</f>
        <v>1.288</v>
      </c>
      <c r="L183" s="21">
        <f>'Fiscal Forecasts'!L$234</f>
        <v>1.29</v>
      </c>
      <c r="M183" s="21">
        <f>'Fiscal Forecasts'!M$234</f>
        <v>1.3459999999999999</v>
      </c>
      <c r="N183" s="21">
        <f>'Fiscal Forecasts'!N$234</f>
        <v>1.2549999999999999</v>
      </c>
      <c r="O183" s="24">
        <f>'Fiscal Forecasts'!O$234</f>
        <v>1.415</v>
      </c>
      <c r="P183" s="24">
        <f>'Fiscal Forecasts'!P$234</f>
        <v>1.4370000000000001</v>
      </c>
      <c r="Q183" s="24">
        <f>'Fiscal Forecasts'!Q$234</f>
        <v>1.4490000000000001</v>
      </c>
      <c r="R183" s="24">
        <f>'Fiscal Forecasts'!R$234</f>
        <v>1.46</v>
      </c>
      <c r="S183" s="24">
        <f>'Fiscal Forecasts'!S$234</f>
        <v>1.4810000000000001</v>
      </c>
      <c r="T183" s="26">
        <f t="shared" ref="T183:AC183" ca="1" si="124">S$183*T$17/S$17*T$29/S$29</f>
        <v>1.5265683557896583</v>
      </c>
      <c r="U183" s="26">
        <f t="shared" ca="1" si="124"/>
        <v>1.5736623826809804</v>
      </c>
      <c r="V183" s="26">
        <f t="shared" ca="1" si="124"/>
        <v>1.6228165268291346</v>
      </c>
      <c r="W183" s="26">
        <f t="shared" ca="1" si="124"/>
        <v>1.6729163015161594</v>
      </c>
      <c r="X183" s="26">
        <f t="shared" ca="1" si="124"/>
        <v>1.7245095029527997</v>
      </c>
      <c r="Y183" s="26">
        <f t="shared" ca="1" si="124"/>
        <v>1.7765036477470562</v>
      </c>
      <c r="Z183" s="26">
        <f t="shared" ca="1" si="124"/>
        <v>1.8291625845745334</v>
      </c>
      <c r="AA183" s="26">
        <f t="shared" ca="1" si="124"/>
        <v>1.8823795750604388</v>
      </c>
      <c r="AB183" s="26">
        <f t="shared" ca="1" si="124"/>
        <v>1.9358982397434052</v>
      </c>
      <c r="AC183" s="26">
        <f t="shared" ca="1" si="124"/>
        <v>1.9900258712625813</v>
      </c>
    </row>
    <row r="184" spans="1:29" x14ac:dyDescent="0.2">
      <c r="A184" s="31" t="s">
        <v>433</v>
      </c>
      <c r="F184" s="56">
        <f>SUM(F$172:F$183)</f>
        <v>16.015999999999998</v>
      </c>
      <c r="G184" s="56">
        <f t="shared" ref="G184:AC184" si="125">SUM(G$172:G$183)</f>
        <v>16.91</v>
      </c>
      <c r="H184" s="56">
        <f t="shared" si="125"/>
        <v>18.222999999999999</v>
      </c>
      <c r="I184" s="56">
        <f t="shared" si="125"/>
        <v>19.753999999999998</v>
      </c>
      <c r="J184" s="56">
        <f t="shared" si="125"/>
        <v>20.634999999999998</v>
      </c>
      <c r="K184" s="56">
        <f t="shared" si="125"/>
        <v>21.155999999999999</v>
      </c>
      <c r="L184" s="56">
        <f t="shared" si="125"/>
        <v>21.547999999999998</v>
      </c>
      <c r="M184" s="56">
        <f t="shared" si="125"/>
        <v>22.023000000000007</v>
      </c>
      <c r="N184" s="56">
        <f t="shared" si="125"/>
        <v>22.353999999999996</v>
      </c>
      <c r="O184" s="57">
        <f t="shared" si="125"/>
        <v>23.216999999999999</v>
      </c>
      <c r="P184" s="57">
        <f t="shared" si="125"/>
        <v>24.245000000000005</v>
      </c>
      <c r="Q184" s="57">
        <f t="shared" si="125"/>
        <v>25.071000000000002</v>
      </c>
      <c r="R184" s="57">
        <f t="shared" si="125"/>
        <v>25.798999999999999</v>
      </c>
      <c r="S184" s="57">
        <f t="shared" si="125"/>
        <v>26.912000000000003</v>
      </c>
      <c r="T184" s="58">
        <f t="shared" ca="1" si="125"/>
        <v>28.078093772794162</v>
      </c>
      <c r="U184" s="58">
        <f t="shared" ca="1" si="125"/>
        <v>29.38873200750189</v>
      </c>
      <c r="V184" s="58">
        <f t="shared" ca="1" si="125"/>
        <v>30.914256110694787</v>
      </c>
      <c r="W184" s="58">
        <f t="shared" ca="1" si="125"/>
        <v>32.549102828943781</v>
      </c>
      <c r="X184" s="58">
        <f t="shared" ca="1" si="125"/>
        <v>34.268892317117761</v>
      </c>
      <c r="Y184" s="58">
        <f t="shared" ca="1" si="125"/>
        <v>36.101790702266612</v>
      </c>
      <c r="Z184" s="58">
        <f t="shared" ca="1" si="125"/>
        <v>38.035903498353356</v>
      </c>
      <c r="AA184" s="58">
        <f t="shared" ca="1" si="125"/>
        <v>40.035385330315641</v>
      </c>
      <c r="AB184" s="58">
        <f t="shared" ca="1" si="125"/>
        <v>42.078160760989554</v>
      </c>
      <c r="AC184" s="58">
        <f t="shared" ca="1" si="125"/>
        <v>44.131826007306678</v>
      </c>
    </row>
    <row r="185" spans="1:29" x14ac:dyDescent="0.2">
      <c r="A185" s="3" t="s">
        <v>434</v>
      </c>
      <c r="B185" s="4" t="str">
        <f>$B$46</f>
        <v>From Fiscal Forecasts</v>
      </c>
      <c r="F185" s="21">
        <f>'Fiscal Forecasts'!F$235</f>
        <v>0</v>
      </c>
      <c r="G185" s="21">
        <f>'Fiscal Forecasts'!G$235</f>
        <v>1.1020000000000001</v>
      </c>
      <c r="H185" s="21">
        <f>'Fiscal Forecasts'!H$235</f>
        <v>1.2809999999999999</v>
      </c>
      <c r="I185" s="21">
        <f>'Fiscal Forecasts'!I$235</f>
        <v>1.024</v>
      </c>
      <c r="J185" s="21">
        <f>'Fiscal Forecasts'!J$235</f>
        <v>1.042</v>
      </c>
      <c r="K185" s="21">
        <f>'Fiscal Forecasts'!K$235</f>
        <v>0.68799999999999994</v>
      </c>
      <c r="L185" s="21">
        <f>'Fiscal Forecasts'!L$235</f>
        <v>0.72299999999999998</v>
      </c>
      <c r="M185" s="21">
        <f>'Fiscal Forecasts'!M$235</f>
        <v>0.80400000000000005</v>
      </c>
      <c r="N185" s="21">
        <f>'Fiscal Forecasts'!N$235</f>
        <v>0.85599999999999998</v>
      </c>
      <c r="O185" s="24">
        <f>'Fiscal Forecasts'!O$235</f>
        <v>0.70899999999999996</v>
      </c>
      <c r="P185" s="24">
        <f>'Fiscal Forecasts'!P$235</f>
        <v>0.749</v>
      </c>
      <c r="Q185" s="24">
        <f>'Fiscal Forecasts'!Q$235</f>
        <v>0.78300000000000003</v>
      </c>
      <c r="R185" s="24">
        <f>'Fiscal Forecasts'!R$235</f>
        <v>0.81799999999999995</v>
      </c>
      <c r="S185" s="24">
        <f>'Fiscal Forecasts'!S$235</f>
        <v>0.85499999999999998</v>
      </c>
      <c r="T185" s="26">
        <f>Tracks!T$38</f>
        <v>0.88800000000000001</v>
      </c>
      <c r="U185" s="26">
        <f>Tracks!U$38</f>
        <v>0.92300000000000004</v>
      </c>
      <c r="V185" s="61">
        <f t="shared" ref="V185:AC185" ca="1" si="126">U$185*V$11/U$11</f>
        <v>0.96443385586871944</v>
      </c>
      <c r="W185" s="26">
        <f t="shared" ca="1" si="126"/>
        <v>1.007407908169291</v>
      </c>
      <c r="X185" s="26">
        <f t="shared" ca="1" si="126"/>
        <v>1.0521542963946802</v>
      </c>
      <c r="Y185" s="26">
        <f t="shared" ca="1" si="126"/>
        <v>1.0983474014185413</v>
      </c>
      <c r="Z185" s="26">
        <f t="shared" ca="1" si="126"/>
        <v>1.1458931562994643</v>
      </c>
      <c r="AA185" s="26">
        <f t="shared" ca="1" si="126"/>
        <v>1.1948250120579438</v>
      </c>
      <c r="AB185" s="26">
        <f t="shared" ca="1" si="126"/>
        <v>1.2449540169784801</v>
      </c>
      <c r="AC185" s="26">
        <f t="shared" ca="1" si="126"/>
        <v>1.2965414290351753</v>
      </c>
    </row>
    <row r="186" spans="1:29" x14ac:dyDescent="0.2">
      <c r="A186" s="3" t="s">
        <v>435</v>
      </c>
      <c r="B186" s="4" t="str">
        <f>$B$46</f>
        <v>From Fiscal Forecasts</v>
      </c>
      <c r="F186" s="21">
        <f>'Fiscal Forecasts'!F$236</f>
        <v>0.33</v>
      </c>
      <c r="G186" s="21">
        <f>'Fiscal Forecasts'!G$236</f>
        <v>0.36199999999999999</v>
      </c>
      <c r="H186" s="21">
        <f>'Fiscal Forecasts'!H$236</f>
        <v>0.45800000000000002</v>
      </c>
      <c r="I186" s="21">
        <f>'Fiscal Forecasts'!I$236</f>
        <v>0.435</v>
      </c>
      <c r="J186" s="21">
        <f>'Fiscal Forecasts'!J$236</f>
        <v>0.495</v>
      </c>
      <c r="K186" s="21">
        <f>'Fiscal Forecasts'!K$236</f>
        <v>0.51</v>
      </c>
      <c r="L186" s="21">
        <f>'Fiscal Forecasts'!L$236</f>
        <v>0.437</v>
      </c>
      <c r="M186" s="21">
        <f>'Fiscal Forecasts'!M$236</f>
        <v>0.53300000000000003</v>
      </c>
      <c r="N186" s="21">
        <f>'Fiscal Forecasts'!N$236</f>
        <v>0.51300000000000001</v>
      </c>
      <c r="O186" s="24">
        <f>'Fiscal Forecasts'!O$236</f>
        <v>0.55900000000000005</v>
      </c>
      <c r="P186" s="24">
        <f>'Fiscal Forecasts'!P$236</f>
        <v>0.57199999999999995</v>
      </c>
      <c r="Q186" s="24">
        <f>'Fiscal Forecasts'!Q$236</f>
        <v>0.58599999999999997</v>
      </c>
      <c r="R186" s="24">
        <f>'Fiscal Forecasts'!R$236</f>
        <v>0.58599999999999997</v>
      </c>
      <c r="S186" s="24">
        <f>'Fiscal Forecasts'!S$236</f>
        <v>0.58599999999999997</v>
      </c>
      <c r="T186" s="26">
        <f t="shared" ref="T186:AC186" ca="1" si="127">S$186*T$11/S$11</f>
        <v>0.61202581429728042</v>
      </c>
      <c r="U186" s="26">
        <f t="shared" ca="1" si="127"/>
        <v>0.63915728044855957</v>
      </c>
      <c r="V186" s="26">
        <f t="shared" ca="1" si="127"/>
        <v>0.66784931797353064</v>
      </c>
      <c r="W186" s="26">
        <f t="shared" ca="1" si="127"/>
        <v>0.69760790778749338</v>
      </c>
      <c r="X186" s="26">
        <f t="shared" ca="1" si="127"/>
        <v>0.72859380140399943</v>
      </c>
      <c r="Y186" s="26">
        <f t="shared" ca="1" si="127"/>
        <v>0.76058151471117796</v>
      </c>
      <c r="Z186" s="26">
        <f t="shared" ca="1" si="127"/>
        <v>0.79350590841276492</v>
      </c>
      <c r="AA186" s="26">
        <f t="shared" ca="1" si="127"/>
        <v>0.82739014660766308</v>
      </c>
      <c r="AB186" s="26">
        <f t="shared" ca="1" si="127"/>
        <v>0.86210338437212941</v>
      </c>
      <c r="AC186" s="26">
        <f t="shared" ca="1" si="127"/>
        <v>0.89782653713002381</v>
      </c>
    </row>
    <row r="187" spans="1:29" x14ac:dyDescent="0.2">
      <c r="A187" s="31" t="s">
        <v>436</v>
      </c>
      <c r="F187" s="56">
        <f>SUM(F$184:F$186)</f>
        <v>16.345999999999997</v>
      </c>
      <c r="G187" s="56">
        <f t="shared" ref="G187:AC187" si="128">SUM(G$184:G$186)</f>
        <v>18.373999999999999</v>
      </c>
      <c r="H187" s="56">
        <f t="shared" si="128"/>
        <v>19.961999999999996</v>
      </c>
      <c r="I187" s="56">
        <f t="shared" si="128"/>
        <v>21.212999999999997</v>
      </c>
      <c r="J187" s="56">
        <f t="shared" si="128"/>
        <v>22.172000000000001</v>
      </c>
      <c r="K187" s="56">
        <f t="shared" si="128"/>
        <v>22.353999999999999</v>
      </c>
      <c r="L187" s="56">
        <f t="shared" si="128"/>
        <v>22.707999999999998</v>
      </c>
      <c r="M187" s="56">
        <f t="shared" si="128"/>
        <v>23.360000000000007</v>
      </c>
      <c r="N187" s="56">
        <f t="shared" si="128"/>
        <v>23.722999999999999</v>
      </c>
      <c r="O187" s="57">
        <f t="shared" si="128"/>
        <v>24.484999999999999</v>
      </c>
      <c r="P187" s="57">
        <f t="shared" si="128"/>
        <v>25.566000000000003</v>
      </c>
      <c r="Q187" s="57">
        <f t="shared" si="128"/>
        <v>26.44</v>
      </c>
      <c r="R187" s="57">
        <f t="shared" si="128"/>
        <v>27.202999999999999</v>
      </c>
      <c r="S187" s="57">
        <f t="shared" si="128"/>
        <v>28.353000000000002</v>
      </c>
      <c r="T187" s="58">
        <f t="shared" ca="1" si="128"/>
        <v>29.578119587091443</v>
      </c>
      <c r="U187" s="58">
        <f t="shared" ca="1" si="128"/>
        <v>30.950889287950449</v>
      </c>
      <c r="V187" s="58">
        <f t="shared" ca="1" si="128"/>
        <v>32.54653928453704</v>
      </c>
      <c r="W187" s="58">
        <f t="shared" ca="1" si="128"/>
        <v>34.254118644900565</v>
      </c>
      <c r="X187" s="58">
        <f t="shared" ca="1" si="128"/>
        <v>36.049640414916446</v>
      </c>
      <c r="Y187" s="58">
        <f t="shared" ca="1" si="128"/>
        <v>37.960719618396332</v>
      </c>
      <c r="Z187" s="58">
        <f t="shared" ca="1" si="128"/>
        <v>39.975302563065583</v>
      </c>
      <c r="AA187" s="58">
        <f t="shared" ca="1" si="128"/>
        <v>42.057600488981244</v>
      </c>
      <c r="AB187" s="58">
        <f t="shared" ca="1" si="128"/>
        <v>44.185218162340163</v>
      </c>
      <c r="AC187" s="58">
        <f t="shared" ca="1" si="128"/>
        <v>46.326193973471874</v>
      </c>
    </row>
    <row r="188" spans="1:29" x14ac:dyDescent="0.2">
      <c r="A188" s="31" t="s">
        <v>452</v>
      </c>
      <c r="B188" s="4" t="str">
        <f>$B$46</f>
        <v>From Fiscal Forecasts</v>
      </c>
      <c r="F188" s="62">
        <f>'Fiscal Forecasts'!F$167</f>
        <v>16.452999999999999</v>
      </c>
      <c r="G188" s="62">
        <f>'Fiscal Forecasts'!G$167</f>
        <v>18.518999999999998</v>
      </c>
      <c r="H188" s="62">
        <f>'Fiscal Forecasts'!H$167</f>
        <v>20.244</v>
      </c>
      <c r="I188" s="62">
        <f>'Fiscal Forecasts'!I$167</f>
        <v>21.484000000000002</v>
      </c>
      <c r="J188" s="62">
        <f>'Fiscal Forecasts'!J$167</f>
        <v>22.227</v>
      </c>
      <c r="K188" s="62">
        <f>'Fiscal Forecasts'!K$167</f>
        <v>22.367000000000001</v>
      </c>
      <c r="L188" s="62">
        <f>'Fiscal Forecasts'!L$167</f>
        <v>22.709</v>
      </c>
      <c r="M188" s="62">
        <f>'Fiscal Forecasts'!M$167</f>
        <v>23.36</v>
      </c>
      <c r="N188" s="62">
        <f>'Fiscal Forecasts'!N$167</f>
        <v>23.722999999999999</v>
      </c>
      <c r="O188" s="25">
        <f>'Fiscal Forecasts'!O$167</f>
        <v>24.484999999999999</v>
      </c>
      <c r="P188" s="25">
        <f>'Fiscal Forecasts'!P$167</f>
        <v>25.565999999999999</v>
      </c>
      <c r="Q188" s="25">
        <f>'Fiscal Forecasts'!Q$167</f>
        <v>26.44</v>
      </c>
      <c r="R188" s="25">
        <f>'Fiscal Forecasts'!R$167</f>
        <v>27.202999999999999</v>
      </c>
      <c r="S188" s="25">
        <f>'Fiscal Forecasts'!S$167</f>
        <v>28.353000000000002</v>
      </c>
      <c r="T188" s="63">
        <f t="shared" ref="T188:AC188" ca="1" si="129">T$187</f>
        <v>29.578119587091443</v>
      </c>
      <c r="U188" s="63">
        <f t="shared" ca="1" si="129"/>
        <v>30.950889287950449</v>
      </c>
      <c r="V188" s="63">
        <f t="shared" ca="1" si="129"/>
        <v>32.54653928453704</v>
      </c>
      <c r="W188" s="63">
        <f t="shared" ca="1" si="129"/>
        <v>34.254118644900565</v>
      </c>
      <c r="X188" s="63">
        <f t="shared" ca="1" si="129"/>
        <v>36.049640414916446</v>
      </c>
      <c r="Y188" s="63">
        <f t="shared" ca="1" si="129"/>
        <v>37.960719618396332</v>
      </c>
      <c r="Z188" s="63">
        <f t="shared" ca="1" si="129"/>
        <v>39.975302563065583</v>
      </c>
      <c r="AA188" s="63">
        <f t="shared" ca="1" si="129"/>
        <v>42.057600488981244</v>
      </c>
      <c r="AB188" s="63">
        <f t="shared" ca="1" si="129"/>
        <v>44.185218162340163</v>
      </c>
      <c r="AC188" s="63">
        <f t="shared" ca="1" si="129"/>
        <v>46.326193973471874</v>
      </c>
    </row>
    <row r="189" spans="1:29" x14ac:dyDescent="0.2">
      <c r="A189" s="3" t="s">
        <v>453</v>
      </c>
      <c r="B189" s="4"/>
      <c r="F189" s="21">
        <f>F$184-F$182</f>
        <v>15.633999999999999</v>
      </c>
      <c r="G189" s="21">
        <f t="shared" ref="G189:AC189" si="130">G$184-G$182</f>
        <v>16.524000000000001</v>
      </c>
      <c r="H189" s="21">
        <f t="shared" si="130"/>
        <v>17.779</v>
      </c>
      <c r="I189" s="21">
        <f t="shared" si="130"/>
        <v>19.183999999999997</v>
      </c>
      <c r="J189" s="21">
        <f t="shared" si="130"/>
        <v>20.014999999999997</v>
      </c>
      <c r="K189" s="21">
        <f t="shared" si="130"/>
        <v>20.512</v>
      </c>
      <c r="L189" s="21">
        <f t="shared" si="130"/>
        <v>20.951999999999998</v>
      </c>
      <c r="M189" s="21">
        <f t="shared" si="130"/>
        <v>21.484000000000005</v>
      </c>
      <c r="N189" s="21">
        <f t="shared" si="130"/>
        <v>21.842999999999996</v>
      </c>
      <c r="O189" s="24">
        <f t="shared" si="130"/>
        <v>22.707999999999998</v>
      </c>
      <c r="P189" s="24">
        <f t="shared" si="130"/>
        <v>23.700000000000003</v>
      </c>
      <c r="Q189" s="24">
        <f t="shared" si="130"/>
        <v>24.51</v>
      </c>
      <c r="R189" s="24">
        <f t="shared" si="130"/>
        <v>25.239000000000001</v>
      </c>
      <c r="S189" s="24">
        <f t="shared" si="130"/>
        <v>26.345000000000002</v>
      </c>
      <c r="T189" s="26">
        <f t="shared" ca="1" si="130"/>
        <v>27.501648826423143</v>
      </c>
      <c r="U189" s="26">
        <f t="shared" ca="1" si="130"/>
        <v>28.800346396275394</v>
      </c>
      <c r="V189" s="26">
        <f t="shared" ca="1" si="130"/>
        <v>30.313303857953759</v>
      </c>
      <c r="W189" s="26">
        <f t="shared" ca="1" si="130"/>
        <v>31.933470207037313</v>
      </c>
      <c r="X189" s="26">
        <f t="shared" ca="1" si="130"/>
        <v>33.636336103089157</v>
      </c>
      <c r="Y189" s="26">
        <f t="shared" ca="1" si="130"/>
        <v>35.449559791781766</v>
      </c>
      <c r="Z189" s="26">
        <f t="shared" ca="1" si="130"/>
        <v>37.364119288680492</v>
      </c>
      <c r="AA189" s="26">
        <f t="shared" ca="1" si="130"/>
        <v>39.343974392088533</v>
      </c>
      <c r="AB189" s="26">
        <f t="shared" ca="1" si="130"/>
        <v>41.369096903776267</v>
      </c>
      <c r="AC189" s="26">
        <f t="shared" ca="1" si="130"/>
        <v>43.40673191146697</v>
      </c>
    </row>
    <row r="190" spans="1:29" x14ac:dyDescent="0.2">
      <c r="A190" s="3" t="s">
        <v>454</v>
      </c>
      <c r="B190" s="4" t="str">
        <f>$B$46</f>
        <v>From Fiscal Forecasts</v>
      </c>
      <c r="F190" s="21">
        <f>'Fiscal Forecasts'!F$52-F$189</f>
        <v>1.1340000000000021</v>
      </c>
      <c r="G190" s="21">
        <f>'Fiscal Forecasts'!G$52-G$189</f>
        <v>1.352999999999998</v>
      </c>
      <c r="H190" s="21">
        <f>'Fiscal Forecasts'!H$52-H$189</f>
        <v>1.6030000000000015</v>
      </c>
      <c r="I190" s="21">
        <f>'Fiscal Forecasts'!I$52-I$189</f>
        <v>2.0010000000000012</v>
      </c>
      <c r="J190" s="21">
        <f>'Fiscal Forecasts'!J$52-J$189</f>
        <v>1.990000000000002</v>
      </c>
      <c r="K190" s="21">
        <f>'Fiscal Forecasts'!K$52-K$189</f>
        <v>1.5159999999999982</v>
      </c>
      <c r="L190" s="21">
        <f>'Fiscal Forecasts'!L$52-L$189</f>
        <v>1.7890000000000015</v>
      </c>
      <c r="M190" s="21">
        <f>'Fiscal Forecasts'!M$52-M$189</f>
        <v>1.5419999999999945</v>
      </c>
      <c r="N190" s="21">
        <f>'Fiscal Forecasts'!N$52-N$189</f>
        <v>1.6800000000000033</v>
      </c>
      <c r="O190" s="24">
        <f>'Fiscal Forecasts'!O$52-O$189</f>
        <v>1.6170000000000009</v>
      </c>
      <c r="P190" s="24">
        <f>'Fiscal Forecasts'!P$52-P$189</f>
        <v>1.5089999999999968</v>
      </c>
      <c r="Q190" s="24">
        <f>'Fiscal Forecasts'!Q$52-Q$189</f>
        <v>1.4969999999999999</v>
      </c>
      <c r="R190" s="24">
        <f>'Fiscal Forecasts'!R$52-R$189</f>
        <v>1.5069999999999979</v>
      </c>
      <c r="S190" s="24">
        <f>'Fiscal Forecasts'!S$52-S$189</f>
        <v>1.519999999999996</v>
      </c>
      <c r="T190" s="26">
        <f t="shared" ref="T190:AC190" si="131">S$190</f>
        <v>1.519999999999996</v>
      </c>
      <c r="U190" s="26">
        <f t="shared" si="131"/>
        <v>1.519999999999996</v>
      </c>
      <c r="V190" s="26">
        <f t="shared" si="131"/>
        <v>1.519999999999996</v>
      </c>
      <c r="W190" s="26">
        <f t="shared" si="131"/>
        <v>1.519999999999996</v>
      </c>
      <c r="X190" s="26">
        <f t="shared" si="131"/>
        <v>1.519999999999996</v>
      </c>
      <c r="Y190" s="26">
        <f t="shared" si="131"/>
        <v>1.519999999999996</v>
      </c>
      <c r="Z190" s="26">
        <f t="shared" si="131"/>
        <v>1.519999999999996</v>
      </c>
      <c r="AA190" s="26">
        <f t="shared" si="131"/>
        <v>1.519999999999996</v>
      </c>
      <c r="AB190" s="26">
        <f t="shared" si="131"/>
        <v>1.519999999999996</v>
      </c>
      <c r="AC190" s="26">
        <f t="shared" si="131"/>
        <v>1.519999999999996</v>
      </c>
    </row>
    <row r="191" spans="1:29" x14ac:dyDescent="0.2">
      <c r="A191" s="31" t="s">
        <v>455</v>
      </c>
      <c r="B191" s="4"/>
      <c r="F191" s="56">
        <f>SUM(F$189:F$190)</f>
        <v>16.768000000000001</v>
      </c>
      <c r="G191" s="56">
        <f t="shared" ref="G191:AC191" si="132">SUM(G$189:G$190)</f>
        <v>17.876999999999999</v>
      </c>
      <c r="H191" s="56">
        <f t="shared" si="132"/>
        <v>19.382000000000001</v>
      </c>
      <c r="I191" s="56">
        <f t="shared" si="132"/>
        <v>21.184999999999999</v>
      </c>
      <c r="J191" s="56">
        <f t="shared" si="132"/>
        <v>22.004999999999999</v>
      </c>
      <c r="K191" s="56">
        <f t="shared" si="132"/>
        <v>22.027999999999999</v>
      </c>
      <c r="L191" s="56">
        <f t="shared" si="132"/>
        <v>22.741</v>
      </c>
      <c r="M191" s="56">
        <f t="shared" si="132"/>
        <v>23.026</v>
      </c>
      <c r="N191" s="56">
        <f t="shared" si="132"/>
        <v>23.523</v>
      </c>
      <c r="O191" s="57">
        <f t="shared" si="132"/>
        <v>24.324999999999999</v>
      </c>
      <c r="P191" s="57">
        <f t="shared" si="132"/>
        <v>25.209</v>
      </c>
      <c r="Q191" s="57">
        <f t="shared" si="132"/>
        <v>26.007000000000001</v>
      </c>
      <c r="R191" s="57">
        <f t="shared" si="132"/>
        <v>26.745999999999999</v>
      </c>
      <c r="S191" s="57">
        <f t="shared" si="132"/>
        <v>27.864999999999998</v>
      </c>
      <c r="T191" s="58">
        <f t="shared" ca="1" si="132"/>
        <v>29.021648826423139</v>
      </c>
      <c r="U191" s="58">
        <f t="shared" ca="1" si="132"/>
        <v>30.32034639627539</v>
      </c>
      <c r="V191" s="58">
        <f t="shared" ca="1" si="132"/>
        <v>31.833303857953755</v>
      </c>
      <c r="W191" s="58">
        <f t="shared" ca="1" si="132"/>
        <v>33.453470207037313</v>
      </c>
      <c r="X191" s="58">
        <f t="shared" ca="1" si="132"/>
        <v>35.156336103089153</v>
      </c>
      <c r="Y191" s="58">
        <f t="shared" ca="1" si="132"/>
        <v>36.969559791781762</v>
      </c>
      <c r="Z191" s="58">
        <f t="shared" ca="1" si="132"/>
        <v>38.884119288680488</v>
      </c>
      <c r="AA191" s="58">
        <f t="shared" ca="1" si="132"/>
        <v>40.863974392088529</v>
      </c>
      <c r="AB191" s="58">
        <f t="shared" ca="1" si="132"/>
        <v>42.889096903776263</v>
      </c>
      <c r="AC191" s="58">
        <f t="shared" ca="1" si="132"/>
        <v>44.926731911466966</v>
      </c>
    </row>
    <row r="192" spans="1:29" x14ac:dyDescent="0.2">
      <c r="A192" s="32" t="s">
        <v>456</v>
      </c>
      <c r="B192" s="4" t="str">
        <f>$B$46</f>
        <v>From Fiscal Forecasts</v>
      </c>
      <c r="F192" s="21">
        <f>'Fiscal Forecasts'!F$168</f>
        <v>3.665</v>
      </c>
      <c r="G192" s="21">
        <f>'Fiscal Forecasts'!G$168</f>
        <v>4.3070000000000004</v>
      </c>
      <c r="H192" s="21">
        <f>'Fiscal Forecasts'!H$168</f>
        <v>4.7270000000000003</v>
      </c>
      <c r="I192" s="21">
        <f>'Fiscal Forecasts'!I$168</f>
        <v>3.8479999999999999</v>
      </c>
      <c r="J192" s="21">
        <f>'Fiscal Forecasts'!J$168</f>
        <v>3.9449999999999998</v>
      </c>
      <c r="K192" s="21">
        <f>'Fiscal Forecasts'!K$168</f>
        <v>4.0090000000000003</v>
      </c>
      <c r="L192" s="21">
        <f>'Fiscal Forecasts'!L$168</f>
        <v>4.1509999999999998</v>
      </c>
      <c r="M192" s="21">
        <f>'Fiscal Forecasts'!M$168</f>
        <v>4.5259999999999998</v>
      </c>
      <c r="N192" s="21">
        <f>'Fiscal Forecasts'!N$168</f>
        <v>5.2460000000000004</v>
      </c>
      <c r="O192" s="24">
        <f>'Fiscal Forecasts'!O$168</f>
        <v>5.1260000000000003</v>
      </c>
      <c r="P192" s="24">
        <f>'Fiscal Forecasts'!P$168</f>
        <v>5.31</v>
      </c>
      <c r="Q192" s="24">
        <f>'Fiscal Forecasts'!Q$168</f>
        <v>5.49</v>
      </c>
      <c r="R192" s="24">
        <f>'Fiscal Forecasts'!R$168</f>
        <v>5.8159999999999998</v>
      </c>
      <c r="S192" s="24">
        <f>'Fiscal Forecasts'!S$168</f>
        <v>6.0519999999999996</v>
      </c>
      <c r="T192" s="26">
        <f>S$192*Tracks!T$31/Tracks!S$31</f>
        <v>6.3225127491656989</v>
      </c>
      <c r="U192" s="26">
        <f>T$192*Tracks!U$31/Tracks!T$31</f>
        <v>6.617617801638354</v>
      </c>
      <c r="V192" s="26">
        <f>U$192*Tracks!V$31/Tracks!U$31</f>
        <v>6.9191025832521946</v>
      </c>
      <c r="W192" s="26">
        <f>V$192*Tracks!W$31/Tracks!V$31</f>
        <v>7.250064776844245</v>
      </c>
      <c r="X192" s="26">
        <f>W$192*Tracks!X$31/Tracks!W$31</f>
        <v>7.5531670852707711</v>
      </c>
      <c r="Y192" s="26">
        <f>X$192*Tracks!Y$31/Tracks!X$31</f>
        <v>7.8703511672393454</v>
      </c>
      <c r="Z192" s="26">
        <f>Y$192*Tracks!Z$31/Tracks!Y$31</f>
        <v>8.1801840232186009</v>
      </c>
      <c r="AA192" s="26">
        <f>Z$192*Tracks!AA$31/Tracks!Z$31</f>
        <v>8.4993968473147739</v>
      </c>
      <c r="AB192" s="26">
        <f>AA$192*Tracks!AB$31/Tracks!AA$31</f>
        <v>8.8283977873519319</v>
      </c>
      <c r="AC192" s="26">
        <f>AB$192*Tracks!AC$31/Tracks!AB$31</f>
        <v>9.1676132147459732</v>
      </c>
    </row>
    <row r="193" spans="1:29" x14ac:dyDescent="0.2">
      <c r="A193" s="32" t="s">
        <v>415</v>
      </c>
      <c r="B193" s="4" t="str">
        <f>$B$46</f>
        <v>From Fiscal Forecasts</v>
      </c>
      <c r="F193" s="21">
        <f>'Fiscal Forecasts'!F$35-SUM(F$191:F$192)</f>
        <v>-0.6039999999999992</v>
      </c>
      <c r="G193" s="21">
        <f>'Fiscal Forecasts'!G$35-SUM(G$191:G$192)</f>
        <v>-0.67499999999999716</v>
      </c>
      <c r="H193" s="21">
        <f>'Fiscal Forecasts'!H$35-SUM(H$191:H$192)</f>
        <v>-0.83600000000000207</v>
      </c>
      <c r="I193" s="21">
        <f>'Fiscal Forecasts'!I$35-SUM(I$191:I$192)</f>
        <v>-0.82699999999999818</v>
      </c>
      <c r="J193" s="21">
        <f>'Fiscal Forecasts'!J$35-SUM(J$191:J$192)</f>
        <v>-0.62599999999999767</v>
      </c>
      <c r="K193" s="21">
        <f>'Fiscal Forecasts'!K$35-SUM(K$191:K$192)</f>
        <v>-0.57999999999999829</v>
      </c>
      <c r="L193" s="21">
        <f>'Fiscal Forecasts'!L$35-SUM(L$191:L$192)</f>
        <v>-0.62399999999999878</v>
      </c>
      <c r="M193" s="21">
        <f>'Fiscal Forecasts'!M$35-SUM(M$191:M$192)</f>
        <v>-0.54100000000000037</v>
      </c>
      <c r="N193" s="21">
        <f>'Fiscal Forecasts'!N$35-SUM(N$191:N$192)</f>
        <v>-0.5379999999999967</v>
      </c>
      <c r="O193" s="24">
        <f>'Fiscal Forecasts'!O$35-SUM(O$191:O$192)</f>
        <v>-0.52299999999999969</v>
      </c>
      <c r="P193" s="24">
        <f>'Fiscal Forecasts'!P$35-SUM(P$191:P$192)</f>
        <v>-0.55999999999999872</v>
      </c>
      <c r="Q193" s="24">
        <f>'Fiscal Forecasts'!Q$35-SUM(Q$191:Q$192)</f>
        <v>-0.57699999999999818</v>
      </c>
      <c r="R193" s="24">
        <f>'Fiscal Forecasts'!R$35-SUM(R$191:R$192)</f>
        <v>-0.59399999999999764</v>
      </c>
      <c r="S193" s="24">
        <f>'Fiscal Forecasts'!S$35-SUM(S$191:S$192)</f>
        <v>-0.59400000000000119</v>
      </c>
      <c r="T193" s="26">
        <f>S$193*Tracks!T$32/Tracks!S$32</f>
        <v>-0.62330197245610142</v>
      </c>
      <c r="U193" s="26">
        <f>T$193*Tracks!U$32/Tracks!T$32</f>
        <v>-0.65583082032590678</v>
      </c>
      <c r="V193" s="26">
        <f>U$193*Tracks!V$32/Tracks!U$32</f>
        <v>-0.68771547618969731</v>
      </c>
      <c r="W193" s="26">
        <f>V$193*Tracks!W$32/Tracks!V$32</f>
        <v>-0.72609452163581489</v>
      </c>
      <c r="X193" s="26">
        <f>W$193*Tracks!X$32/Tracks!W$32</f>
        <v>-0.75865314974884979</v>
      </c>
      <c r="Y193" s="26">
        <f>X$193*Tracks!Y$32/Tracks!X$32</f>
        <v>-0.79378500040380351</v>
      </c>
      <c r="Z193" s="26">
        <f>Y$193*Tracks!Z$32/Tracks!Y$32</f>
        <v>-0.82335976785622844</v>
      </c>
      <c r="AA193" s="26">
        <f>Z$193*Tracks!AA$32/Tracks!Z$32</f>
        <v>-0.8529345353086496</v>
      </c>
      <c r="AB193" s="26">
        <f>AA$193*Tracks!AB$32/Tracks!AA$32</f>
        <v>-0.8825093027610732</v>
      </c>
      <c r="AC193" s="26">
        <f>AB$193*Tracks!AC$32/Tracks!AB$32</f>
        <v>-0.91208407021349835</v>
      </c>
    </row>
    <row r="194" spans="1:29" x14ac:dyDescent="0.2">
      <c r="A194" s="31" t="s">
        <v>458</v>
      </c>
      <c r="B194" s="4"/>
      <c r="F194" s="56">
        <f>SUM(F$191:F$193)</f>
        <v>19.829000000000001</v>
      </c>
      <c r="G194" s="56">
        <f t="shared" ref="G194:AC194" si="133">SUM(G$191:G$193)</f>
        <v>21.509</v>
      </c>
      <c r="H194" s="56">
        <f t="shared" si="133"/>
        <v>23.273</v>
      </c>
      <c r="I194" s="56">
        <f t="shared" si="133"/>
        <v>24.206</v>
      </c>
      <c r="J194" s="56">
        <f t="shared" si="133"/>
        <v>25.324000000000002</v>
      </c>
      <c r="K194" s="56">
        <f t="shared" si="133"/>
        <v>25.457000000000001</v>
      </c>
      <c r="L194" s="56">
        <f t="shared" si="133"/>
        <v>26.268000000000001</v>
      </c>
      <c r="M194" s="56">
        <f t="shared" si="133"/>
        <v>27.010999999999999</v>
      </c>
      <c r="N194" s="56">
        <f t="shared" si="133"/>
        <v>28.231000000000002</v>
      </c>
      <c r="O194" s="57">
        <f t="shared" si="133"/>
        <v>28.928000000000001</v>
      </c>
      <c r="P194" s="57">
        <f t="shared" si="133"/>
        <v>29.959</v>
      </c>
      <c r="Q194" s="57">
        <f t="shared" si="133"/>
        <v>30.92</v>
      </c>
      <c r="R194" s="57">
        <f t="shared" si="133"/>
        <v>31.968</v>
      </c>
      <c r="S194" s="57">
        <f t="shared" si="133"/>
        <v>33.323</v>
      </c>
      <c r="T194" s="58">
        <f t="shared" ca="1" si="133"/>
        <v>34.72085960313273</v>
      </c>
      <c r="U194" s="58">
        <f t="shared" ca="1" si="133"/>
        <v>36.282133377587833</v>
      </c>
      <c r="V194" s="58">
        <f t="shared" ca="1" si="133"/>
        <v>38.064690965016254</v>
      </c>
      <c r="W194" s="58">
        <f t="shared" ca="1" si="133"/>
        <v>39.977440462245745</v>
      </c>
      <c r="X194" s="58">
        <f t="shared" ca="1" si="133"/>
        <v>41.950850038611073</v>
      </c>
      <c r="Y194" s="58">
        <f t="shared" ca="1" si="133"/>
        <v>44.04612595861731</v>
      </c>
      <c r="Z194" s="58">
        <f t="shared" ca="1" si="133"/>
        <v>46.240943544042857</v>
      </c>
      <c r="AA194" s="58">
        <f t="shared" ca="1" si="133"/>
        <v>48.510436704094658</v>
      </c>
      <c r="AB194" s="58">
        <f t="shared" ca="1" si="133"/>
        <v>50.834985388367123</v>
      </c>
      <c r="AC194" s="58">
        <f t="shared" ca="1" si="133"/>
        <v>53.182261055999447</v>
      </c>
    </row>
    <row r="195" spans="1:29" x14ac:dyDescent="0.2">
      <c r="F195" s="30"/>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row>
    <row r="196" spans="1:29" x14ac:dyDescent="0.2">
      <c r="A196" s="31" t="s">
        <v>819</v>
      </c>
    </row>
    <row r="197" spans="1:29" x14ac:dyDescent="0.2">
      <c r="A197" s="3" t="s">
        <v>437</v>
      </c>
      <c r="B197" s="4" t="str">
        <f>$B$9</f>
        <v>From Economic Forecasts</v>
      </c>
      <c r="F197" s="40">
        <f>'Economic Forecasts'!F$22</f>
        <v>645.82000000000005</v>
      </c>
      <c r="G197" s="40">
        <f>'Economic Forecasts'!G$22</f>
        <v>664.02</v>
      </c>
      <c r="H197" s="40">
        <f>'Economic Forecasts'!H$22</f>
        <v>723.19</v>
      </c>
      <c r="I197" s="40">
        <f>'Economic Forecasts'!I$22</f>
        <v>741.53</v>
      </c>
      <c r="J197" s="40">
        <f>'Economic Forecasts'!J$22</f>
        <v>792.36</v>
      </c>
      <c r="K197" s="40">
        <f>'Economic Forecasts'!K$22</f>
        <v>813.32</v>
      </c>
      <c r="L197" s="40">
        <f>'Economic Forecasts'!L$22</f>
        <v>833.14</v>
      </c>
      <c r="M197" s="40">
        <f>'Economic Forecasts'!M$22</f>
        <v>855.33</v>
      </c>
      <c r="N197" s="40">
        <f>'Economic Forecasts'!N$22</f>
        <v>873.01</v>
      </c>
      <c r="O197" s="41">
        <f>'Economic Forecasts'!O$22</f>
        <v>891.3</v>
      </c>
      <c r="P197" s="41">
        <f>'Economic Forecasts'!P$22</f>
        <v>899.66</v>
      </c>
      <c r="Q197" s="41">
        <f>'Economic Forecasts'!Q$22</f>
        <v>911.7</v>
      </c>
      <c r="R197" s="41">
        <f>'Economic Forecasts'!R$22</f>
        <v>930.93</v>
      </c>
      <c r="S197" s="41">
        <f>'Economic Forecasts'!S$22</f>
        <v>956.19</v>
      </c>
      <c r="T197" s="50">
        <f ca="1">IF(T$4&lt;=OFFSET(Choices!$B$33,0,$C$1),T$33*(1-'Economic Forecasts'!$C$34)-IF(52*T$33&gt;'Economic Forecasts'!$B$32,(52*T$33-'Economic Forecasts'!$B$32)*'Economic Forecasts'!$C$33+'Economic Forecasts'!$D$32,IF(52*T$33&gt;'Economic Forecasts'!$B$31,(52*T$33-'Economic Forecasts'!$B$31)*'Economic Forecasts'!$C$32+'Economic Forecasts'!$D$31,IF(52*T$33&gt;'Economic Forecasts'!$B$30,(52*T$33-'Economic Forecasts'!$B$30)*'Economic Forecasts'!$C$31+'Economic Forecasts'!$D$30,52*T$33*'Economic Forecasts'!$C$30)))/52,S$197*T$33/S$33)</f>
        <v>990.32572457027027</v>
      </c>
      <c r="U197" s="50">
        <f ca="1">IF(U$4&lt;=OFFSET(Choices!$B$33,0,$C$1),U$33*(1-'Economic Forecasts'!$C$34)-IF(52*U$33&gt;'Economic Forecasts'!$B$32,(52*U$33-'Economic Forecasts'!$B$32)*'Economic Forecasts'!$C$33+'Economic Forecasts'!$D$32,IF(52*U$33&gt;'Economic Forecasts'!$B$31,(52*U$33-'Economic Forecasts'!$B$31)*'Economic Forecasts'!$C$32+'Economic Forecasts'!$D$31,IF(52*U$33&gt;'Economic Forecasts'!$B$30,(52*U$33-'Economic Forecasts'!$B$30)*'Economic Forecasts'!$C$31+'Economic Forecasts'!$D$30,52*U$33*'Economic Forecasts'!$C$30)))/52,T$197*U$33/T$33)</f>
        <v>1025.2842226476007</v>
      </c>
      <c r="V197" s="50">
        <f ca="1">IF(V$4&lt;=OFFSET(Choices!$B$33,0,$C$1),V$33*(1-'Economic Forecasts'!$C$34)-IF(52*V$33&gt;'Economic Forecasts'!$B$32,(52*V$33-'Economic Forecasts'!$B$32)*'Economic Forecasts'!$C$33+'Economic Forecasts'!$D$32,IF(52*V$33&gt;'Economic Forecasts'!$B$31,(52*V$33-'Economic Forecasts'!$B$31)*'Economic Forecasts'!$C$32+'Economic Forecasts'!$D$31,IF(52*V$33&gt;'Economic Forecasts'!$B$30,(52*V$33-'Economic Forecasts'!$B$30)*'Economic Forecasts'!$C$31+'Economic Forecasts'!$D$30,52*V$33*'Economic Forecasts'!$C$30)))/52,U$197*V$33/U$33)</f>
        <v>1061.4767557070611</v>
      </c>
      <c r="W197" s="50">
        <f ca="1">IF(W$4&lt;=OFFSET(Choices!$B$33,0,$C$1),W$33*(1-'Economic Forecasts'!$C$34)-IF(52*W$33&gt;'Economic Forecasts'!$B$32,(52*W$33-'Economic Forecasts'!$B$32)*'Economic Forecasts'!$C$33+'Economic Forecasts'!$D$32,IF(52*W$33&gt;'Economic Forecasts'!$B$31,(52*W$33-'Economic Forecasts'!$B$31)*'Economic Forecasts'!$C$32+'Economic Forecasts'!$D$31,IF(52*W$33&gt;'Economic Forecasts'!$B$30,(52*W$33-'Economic Forecasts'!$B$30)*'Economic Forecasts'!$C$31+'Economic Forecasts'!$D$30,52*W$33*'Economic Forecasts'!$C$30)))/52,V$197*W$33/V$33)</f>
        <v>1098.9468851835202</v>
      </c>
      <c r="X197" s="50">
        <f ca="1">IF(X$4&lt;=OFFSET(Choices!$B$33,0,$C$1),X$33*(1-'Economic Forecasts'!$C$34)-IF(52*X$33&gt;'Economic Forecasts'!$B$32,(52*X$33-'Economic Forecasts'!$B$32)*'Economic Forecasts'!$C$33+'Economic Forecasts'!$D$32,IF(52*X$33&gt;'Economic Forecasts'!$B$31,(52*X$33-'Economic Forecasts'!$B$31)*'Economic Forecasts'!$C$32+'Economic Forecasts'!$D$31,IF(52*X$33&gt;'Economic Forecasts'!$B$30,(52*X$33-'Economic Forecasts'!$B$30)*'Economic Forecasts'!$C$31+'Economic Forecasts'!$D$30,52*X$33*'Economic Forecasts'!$C$30)))/52,W$197*X$33/W$33)</f>
        <v>1137.7397102304983</v>
      </c>
      <c r="Y197" s="50">
        <f ca="1">IF(Y$4&lt;=OFFSET(Choices!$B$33,0,$C$1),Y$33*(1-'Economic Forecasts'!$C$34)-IF(52*Y$33&gt;'Economic Forecasts'!$B$32,(52*Y$33-'Economic Forecasts'!$B$32)*'Economic Forecasts'!$C$33+'Economic Forecasts'!$D$32,IF(52*Y$33&gt;'Economic Forecasts'!$B$31,(52*Y$33-'Economic Forecasts'!$B$31)*'Economic Forecasts'!$C$32+'Economic Forecasts'!$D$31,IF(52*Y$33&gt;'Economic Forecasts'!$B$30,(52*Y$33-'Economic Forecasts'!$B$30)*'Economic Forecasts'!$C$31+'Economic Forecasts'!$D$30,52*Y$33*'Economic Forecasts'!$C$30)))/52,X$197*Y$33/X$33)</f>
        <v>1177.9019220016348</v>
      </c>
      <c r="Z197" s="50">
        <f ca="1">IF(Z$4&lt;=OFFSET(Choices!$B$33,0,$C$1),Z$33*(1-'Economic Forecasts'!$C$34)-IF(52*Z$33&gt;'Economic Forecasts'!$B$32,(52*Z$33-'Economic Forecasts'!$B$32)*'Economic Forecasts'!$C$33+'Economic Forecasts'!$D$32,IF(52*Z$33&gt;'Economic Forecasts'!$B$31,(52*Z$33-'Economic Forecasts'!$B$31)*'Economic Forecasts'!$C$32+'Economic Forecasts'!$D$31,IF(52*Z$33&gt;'Economic Forecasts'!$B$30,(52*Z$33-'Economic Forecasts'!$B$30)*'Economic Forecasts'!$C$31+'Economic Forecasts'!$D$30,52*Z$33*'Economic Forecasts'!$C$30)))/52,Y$197*Z$33/Y$33)</f>
        <v>1219.4818598482925</v>
      </c>
      <c r="AA197" s="50">
        <f ca="1">IF(AA$4&lt;=OFFSET(Choices!$B$33,0,$C$1),AA$33*(1-'Economic Forecasts'!$C$34)-IF(52*AA$33&gt;'Economic Forecasts'!$B$32,(52*AA$33-'Economic Forecasts'!$B$32)*'Economic Forecasts'!$C$33+'Economic Forecasts'!$D$32,IF(52*AA$33&gt;'Economic Forecasts'!$B$31,(52*AA$33-'Economic Forecasts'!$B$31)*'Economic Forecasts'!$C$32+'Economic Forecasts'!$D$31,IF(52*AA$33&gt;'Economic Forecasts'!$B$30,(52*AA$33-'Economic Forecasts'!$B$30)*'Economic Forecasts'!$C$31+'Economic Forecasts'!$D$30,52*AA$33*'Economic Forecasts'!$C$30)))/52,Z$197*AA$33/Z$33)</f>
        <v>1262.5295695009372</v>
      </c>
      <c r="AB197" s="50">
        <f ca="1">IF(AB$4&lt;=OFFSET(Choices!$B$33,0,$C$1),AB$33*(1-'Economic Forecasts'!$C$34)-IF(52*AB$33&gt;'Economic Forecasts'!$B$32,(52*AB$33-'Economic Forecasts'!$B$32)*'Economic Forecasts'!$C$33+'Economic Forecasts'!$D$32,IF(52*AB$33&gt;'Economic Forecasts'!$B$31,(52*AB$33-'Economic Forecasts'!$B$31)*'Economic Forecasts'!$C$32+'Economic Forecasts'!$D$31,IF(52*AB$33&gt;'Economic Forecasts'!$B$30,(52*AB$33-'Economic Forecasts'!$B$30)*'Economic Forecasts'!$C$31+'Economic Forecasts'!$D$30,52*AB$33*'Economic Forecasts'!$C$30)))/52,AA$197*AB$33/AA$33)</f>
        <v>1307.0968633043201</v>
      </c>
      <c r="AC197" s="50">
        <f ca="1">IF(AC$4&lt;=OFFSET(Choices!$B$33,0,$C$1),AC$33*(1-'Economic Forecasts'!$C$34)-IF(52*AC$33&gt;'Economic Forecasts'!$B$32,(52*AC$33-'Economic Forecasts'!$B$32)*'Economic Forecasts'!$C$33+'Economic Forecasts'!$D$32,IF(52*AC$33&gt;'Economic Forecasts'!$B$31,(52*AC$33-'Economic Forecasts'!$B$31)*'Economic Forecasts'!$C$32+'Economic Forecasts'!$D$31,IF(52*AC$33&gt;'Economic Forecasts'!$B$30,(52*AC$33-'Economic Forecasts'!$B$30)*'Economic Forecasts'!$C$31+'Economic Forecasts'!$D$30,52*AC$33*'Economic Forecasts'!$C$30)))/52,AB$197*AC$33/AB$33)</f>
        <v>1353.2373825789625</v>
      </c>
    </row>
    <row r="198" spans="1:29" x14ac:dyDescent="0.2">
      <c r="A198" s="3" t="s">
        <v>438</v>
      </c>
      <c r="B198" s="4" t="str">
        <f>$B$9</f>
        <v>From Economic Forecasts</v>
      </c>
      <c r="F198" s="40">
        <f>'Economic Forecasts'!F$23</f>
        <v>213.12</v>
      </c>
      <c r="G198" s="40">
        <f>'Economic Forecasts'!G$23</f>
        <v>219.9</v>
      </c>
      <c r="H198" s="40">
        <f>'Economic Forecasts'!H$23</f>
        <v>239.19</v>
      </c>
      <c r="I198" s="40">
        <f>'Economic Forecasts'!I$23</f>
        <v>244.71</v>
      </c>
      <c r="J198" s="40">
        <f>'Economic Forecasts'!J$23</f>
        <v>261.48</v>
      </c>
      <c r="K198" s="40">
        <f>'Economic Forecasts'!K$23</f>
        <v>268.39999999999998</v>
      </c>
      <c r="L198" s="40">
        <f>'Economic Forecasts'!L$23</f>
        <v>274.94</v>
      </c>
      <c r="M198" s="40">
        <f>'Economic Forecasts'!M$23</f>
        <v>282.26</v>
      </c>
      <c r="N198" s="40">
        <f>'Economic Forecasts'!N$23</f>
        <v>288.10000000000002</v>
      </c>
      <c r="O198" s="41">
        <f>'Economic Forecasts'!O$23</f>
        <v>294.13</v>
      </c>
      <c r="P198" s="41">
        <f>'Economic Forecasts'!P$23</f>
        <v>299.42</v>
      </c>
      <c r="Q198" s="41">
        <f>'Economic Forecasts'!Q$23</f>
        <v>305.11</v>
      </c>
      <c r="R198" s="41">
        <f>'Economic Forecasts'!R$23</f>
        <v>311.52</v>
      </c>
      <c r="S198" s="41">
        <f>'Economic Forecasts'!S$23</f>
        <v>318.37</v>
      </c>
      <c r="T198" s="50">
        <f ca="1">IF(2*S$198*T$29/S$29&gt;=OFFSET(Choices!$B$45,0,$C$1)*T$197,OFFSET(Choices!$B$45,0,$C$1)*T$197,IF(2*S$198*T$29/S$29&gt;=OFFSET(Choices!$B$44,0,$C$1)*T$197,2*S$198*T$29/S$29,OFFSET(Choices!$B$44,0,$C$1)*T$197))/2</f>
        <v>324.86278123552125</v>
      </c>
      <c r="U198" s="50">
        <f ca="1">IF(2*T$198*U$29/T$29&gt;=OFFSET(Choices!$B$45,0,$C$1)*U$197,OFFSET(Choices!$B$45,0,$C$1)*U$197,IF(2*T$198*U$29/T$29&gt;=OFFSET(Choices!$B$44,0,$C$1)*U$197,2*T$198*U$29/T$29,OFFSET(Choices!$B$44,0,$C$1)*U$197))/2</f>
        <v>333.21737236047022</v>
      </c>
      <c r="V198" s="50">
        <f ca="1">IF(2*U$198*V$29/U$29&gt;=OFFSET(Choices!$B$45,0,$C$1)*V$197,OFFSET(Choices!$B$45,0,$C$1)*V$197,IF(2*U$198*V$29/U$29&gt;=OFFSET(Choices!$B$44,0,$C$1)*V$197,2*U$198*V$29/U$29,OFFSET(Choices!$B$44,0,$C$1)*V$197))/2</f>
        <v>344.97994560479486</v>
      </c>
      <c r="W198" s="50">
        <f ca="1">IF(2*V$198*W$29/V$29&gt;=OFFSET(Choices!$B$45,0,$C$1)*W$197,OFFSET(Choices!$B$45,0,$C$1)*W$197,IF(2*V$198*W$29/V$29&gt;=OFFSET(Choices!$B$44,0,$C$1)*W$197,2*V$198*W$29/V$29,OFFSET(Choices!$B$44,0,$C$1)*W$197))/2</f>
        <v>357.15773768464408</v>
      </c>
      <c r="X198" s="50">
        <f ca="1">IF(2*W$198*X$29/W$29&gt;=OFFSET(Choices!$B$45,0,$C$1)*X$197,OFFSET(Choices!$B$45,0,$C$1)*X$197,IF(2*W$198*X$29/W$29&gt;=OFFSET(Choices!$B$44,0,$C$1)*X$197,2*W$198*X$29/W$29,OFFSET(Choices!$B$44,0,$C$1)*X$197))/2</f>
        <v>369.76540582491197</v>
      </c>
      <c r="Y198" s="50">
        <f ca="1">IF(2*X$198*Y$29/X$29&gt;=OFFSET(Choices!$B$45,0,$C$1)*Y$197,OFFSET(Choices!$B$45,0,$C$1)*Y$197,IF(2*X$198*Y$29/X$29&gt;=OFFSET(Choices!$B$44,0,$C$1)*Y$197,2*X$198*Y$29/X$29,OFFSET(Choices!$B$44,0,$C$1)*Y$197))/2</f>
        <v>382.81812465053133</v>
      </c>
      <c r="Z198" s="50">
        <f ca="1">IF(2*Y$198*Z$29/Y$29&gt;=OFFSET(Choices!$B$45,0,$C$1)*Z$197,OFFSET(Choices!$B$45,0,$C$1)*Z$197,IF(2*Y$198*Z$29/Y$29&gt;=OFFSET(Choices!$B$44,0,$C$1)*Z$197,2*Y$198*Z$29/Y$29,OFFSET(Choices!$B$44,0,$C$1)*Z$197))/2</f>
        <v>396.33160445069507</v>
      </c>
      <c r="AA198" s="50">
        <f ca="1">IF(2*Z$198*AA$29/Z$29&gt;=OFFSET(Choices!$B$45,0,$C$1)*AA$197,OFFSET(Choices!$B$45,0,$C$1)*AA$197,IF(2*Z$198*AA$29/Z$29&gt;=OFFSET(Choices!$B$44,0,$C$1)*AA$197,2*Z$198*AA$29/Z$29,OFFSET(Choices!$B$44,0,$C$1)*AA$197))/2</f>
        <v>410.32211008780462</v>
      </c>
      <c r="AB198" s="50">
        <f ca="1">IF(2*AA$198*AB$29/AA$29&gt;=OFFSET(Choices!$B$45,0,$C$1)*AB$197,OFFSET(Choices!$B$45,0,$C$1)*AB$197,IF(2*AA$198*AB$29/AA$29&gt;=OFFSET(Choices!$B$44,0,$C$1)*AB$197,2*AA$198*AB$29/AA$29,OFFSET(Choices!$B$44,0,$C$1)*AB$197))/2</f>
        <v>424.80648057390403</v>
      </c>
      <c r="AC198" s="50">
        <f ca="1">IF(2*AB$198*AC$29/AB$29&gt;=OFFSET(Choices!$B$45,0,$C$1)*AC$197,OFFSET(Choices!$B$45,0,$C$1)*AC$197,IF(2*AB$198*AC$29/AB$29&gt;=OFFSET(Choices!$B$44,0,$C$1)*AC$197,2*AB$198*AC$29/AB$29,OFFSET(Choices!$B$44,0,$C$1)*AC$197))/2</f>
        <v>439.80214933816285</v>
      </c>
    </row>
    <row r="199" spans="1:29" x14ac:dyDescent="0.2">
      <c r="A199" s="3" t="s">
        <v>444</v>
      </c>
      <c r="B199" s="4" t="str">
        <f>$B$9</f>
        <v>From Economic Forecasts</v>
      </c>
      <c r="F199" s="40">
        <f>'Economic Forecasts'!F$24</f>
        <v>255.7</v>
      </c>
      <c r="G199" s="40">
        <f>'Economic Forecasts'!G$24</f>
        <v>264.37</v>
      </c>
      <c r="H199" s="40">
        <f>'Economic Forecasts'!H$24</f>
        <v>273.63</v>
      </c>
      <c r="I199" s="40">
        <f>'Economic Forecasts'!I$24</f>
        <v>280.62</v>
      </c>
      <c r="J199" s="40">
        <f>'Economic Forecasts'!J$24</f>
        <v>294.08000000000004</v>
      </c>
      <c r="K199" s="40">
        <f>'Economic Forecasts'!K$24</f>
        <v>302.39999999999998</v>
      </c>
      <c r="L199" s="40">
        <f>'Economic Forecasts'!L$24</f>
        <v>310.33999999999997</v>
      </c>
      <c r="M199" s="40">
        <f>'Economic Forecasts'!M$24</f>
        <v>319.23</v>
      </c>
      <c r="N199" s="40">
        <f>'Economic Forecasts'!N$24</f>
        <v>326.3</v>
      </c>
      <c r="O199" s="41">
        <f>'Economic Forecasts'!O$24</f>
        <v>333.55</v>
      </c>
      <c r="P199" s="41">
        <f>'Economic Forecasts'!P$24</f>
        <v>340.07</v>
      </c>
      <c r="Q199" s="41">
        <f>'Economic Forecasts'!Q$24</f>
        <v>346.81</v>
      </c>
      <c r="R199" s="41">
        <f>'Economic Forecasts'!R$24</f>
        <v>354.62</v>
      </c>
      <c r="S199" s="41">
        <f>'Economic Forecasts'!S$24</f>
        <v>363.04</v>
      </c>
      <c r="T199" s="50">
        <f ca="1">IF(T$4&lt;=OFFSET(Choices!$B$33,0,$C$1),IF(52*T$198&gt;'Economic Forecasts'!$B$39,(52*T$198-'Economic Forecasts'!$D$39)/'Economic Forecasts'!$C$40,IF(52*T$198&gt;'Economic Forecasts'!$B$38,(52*T$198-'Economic Forecasts'!$D$38)/'Economic Forecasts'!$C$39,IF(52*T$198&gt;'Economic Forecasts'!$B$37,(52*T$198-'Economic Forecasts'!$D$37)/'Economic Forecasts'!$C$38,52*T$198/'Economic Forecasts'!$C$37)))/52,S$199*T$198/S$198)</f>
        <v>370.44377328185328</v>
      </c>
      <c r="U199" s="50">
        <f ca="1">IF(U$4&lt;=OFFSET(Choices!$B$33,0,$C$1),IF(52*U$198&gt;'Economic Forecasts'!$B$39,(52*U$198-'Economic Forecasts'!$D$39)/'Economic Forecasts'!$C$40,IF(52*U$198&gt;'Economic Forecasts'!$B$38,(52*U$198-'Economic Forecasts'!$D$38)/'Economic Forecasts'!$C$39,IF(52*U$198&gt;'Economic Forecasts'!$B$37,(52*U$198-'Economic Forecasts'!$D$37)/'Economic Forecasts'!$C$38,52*U$198/'Economic Forecasts'!$C$37)))/52,T$199*U$198/T$198)</f>
        <v>379.97058410574209</v>
      </c>
      <c r="V199" s="50">
        <f ca="1">IF(V$4&lt;=OFFSET(Choices!$B$33,0,$C$1),IF(52*V$198&gt;'Economic Forecasts'!$B$39,(52*V$198-'Economic Forecasts'!$D$39)/'Economic Forecasts'!$C$40,IF(52*V$198&gt;'Economic Forecasts'!$B$38,(52*V$198-'Economic Forecasts'!$D$38)/'Economic Forecasts'!$C$39,IF(52*V$198&gt;'Economic Forecasts'!$B$37,(52*V$198-'Economic Forecasts'!$D$37)/'Economic Forecasts'!$C$38,52*V$198/'Economic Forecasts'!$C$37)))/52,U$199*V$198/U$198)</f>
        <v>393.38354572467483</v>
      </c>
      <c r="W199" s="50">
        <f ca="1">IF(W$4&lt;=OFFSET(Choices!$B$33,0,$C$1),IF(52*W$198&gt;'Economic Forecasts'!$B$39,(52*W$198-'Economic Forecasts'!$D$39)/'Economic Forecasts'!$C$40,IF(52*W$198&gt;'Economic Forecasts'!$B$38,(52*W$198-'Economic Forecasts'!$D$38)/'Economic Forecasts'!$C$39,IF(52*W$198&gt;'Economic Forecasts'!$B$37,(52*W$198-'Economic Forecasts'!$D$37)/'Economic Forecasts'!$C$38,52*W$198/'Economic Forecasts'!$C$37)))/52,V$199*W$198/V$198)</f>
        <v>407.2699848887558</v>
      </c>
      <c r="X199" s="50">
        <f ca="1">IF(X$4&lt;=OFFSET(Choices!$B$33,0,$C$1),IF(52*X$198&gt;'Economic Forecasts'!$B$39,(52*X$198-'Economic Forecasts'!$D$39)/'Economic Forecasts'!$C$40,IF(52*X$198&gt;'Economic Forecasts'!$B$38,(52*X$198-'Economic Forecasts'!$D$38)/'Economic Forecasts'!$C$39,IF(52*X$198&gt;'Economic Forecasts'!$B$37,(52*X$198-'Economic Forecasts'!$D$37)/'Economic Forecasts'!$C$38,52*X$198/'Economic Forecasts'!$C$37)))/52,W$199*X$198/W$198)</f>
        <v>421.64661535532883</v>
      </c>
      <c r="Y199" s="50">
        <f ca="1">IF(Y$4&lt;=OFFSET(Choices!$B$33,0,$C$1),IF(52*Y$198&gt;'Economic Forecasts'!$B$39,(52*Y$198-'Economic Forecasts'!$D$39)/'Economic Forecasts'!$C$40,IF(52*Y$198&gt;'Economic Forecasts'!$B$38,(52*Y$198-'Economic Forecasts'!$D$38)/'Economic Forecasts'!$C$39,IF(52*Y$198&gt;'Economic Forecasts'!$B$37,(52*Y$198-'Economic Forecasts'!$D$37)/'Economic Forecasts'!$C$38,52*Y$198/'Economic Forecasts'!$C$37)))/52,X$199*Y$198/X$198)</f>
        <v>436.53074087737195</v>
      </c>
      <c r="Z199" s="50">
        <f ca="1">IF(Z$4&lt;=OFFSET(Choices!$B$33,0,$C$1),IF(52*Z$198&gt;'Economic Forecasts'!$B$39,(52*Z$198-'Economic Forecasts'!$D$39)/'Economic Forecasts'!$C$40,IF(52*Z$198&gt;'Economic Forecasts'!$B$38,(52*Z$198-'Economic Forecasts'!$D$38)/'Economic Forecasts'!$C$39,IF(52*Z$198&gt;'Economic Forecasts'!$B$37,(52*Z$198-'Economic Forecasts'!$D$37)/'Economic Forecasts'!$C$38,52*Z$198/'Economic Forecasts'!$C$37)))/52,Y$199*Z$198/Y$198)</f>
        <v>451.94027603034317</v>
      </c>
      <c r="AA199" s="50">
        <f ca="1">IF(AA$4&lt;=OFFSET(Choices!$B$33,0,$C$1),IF(52*AA$198&gt;'Economic Forecasts'!$B$39,(52*AA$198-'Economic Forecasts'!$D$39)/'Economic Forecasts'!$C$40,IF(52*AA$198&gt;'Economic Forecasts'!$B$38,(52*AA$198-'Economic Forecasts'!$D$38)/'Economic Forecasts'!$C$39,IF(52*AA$198&gt;'Economic Forecasts'!$B$37,(52*AA$198-'Economic Forecasts'!$D$37)/'Economic Forecasts'!$C$38,52*AA$198/'Economic Forecasts'!$C$37)))/52,Z$199*AA$198/Z$198)</f>
        <v>467.89376777421427</v>
      </c>
      <c r="AB199" s="50">
        <f ca="1">IF(AB$4&lt;=OFFSET(Choices!$B$33,0,$C$1),IF(52*AB$198&gt;'Economic Forecasts'!$B$39,(52*AB$198-'Economic Forecasts'!$D$39)/'Economic Forecasts'!$C$40,IF(52*AB$198&gt;'Economic Forecasts'!$B$38,(52*AB$198-'Economic Forecasts'!$D$38)/'Economic Forecasts'!$C$39,IF(52*AB$198&gt;'Economic Forecasts'!$B$37,(52*AB$198-'Economic Forecasts'!$D$37)/'Economic Forecasts'!$C$38,52*AB$198/'Economic Forecasts'!$C$37)))/52,AA$199*AB$198/AA$198)</f>
        <v>484.41041777664395</v>
      </c>
      <c r="AC199" s="50">
        <f ca="1">IF(AC$4&lt;=OFFSET(Choices!$B$33,0,$C$1),IF(52*AC$198&gt;'Economic Forecasts'!$B$39,(52*AC$198-'Economic Forecasts'!$D$39)/'Economic Forecasts'!$C$40,IF(52*AC$198&gt;'Economic Forecasts'!$B$38,(52*AC$198-'Economic Forecasts'!$D$38)/'Economic Forecasts'!$C$39,IF(52*AC$198&gt;'Economic Forecasts'!$B$37,(52*AC$198-'Economic Forecasts'!$D$37)/'Economic Forecasts'!$C$38,52*AC$198/'Economic Forecasts'!$C$37)))/52,AB$199*AC$198/AB$198)</f>
        <v>501.51010552415948</v>
      </c>
    </row>
    <row r="201" spans="1:29" x14ac:dyDescent="0.2">
      <c r="A201" s="31" t="s">
        <v>230</v>
      </c>
    </row>
    <row r="202" spans="1:29" x14ac:dyDescent="0.2">
      <c r="A202" s="3" t="s">
        <v>412</v>
      </c>
      <c r="B202" s="4" t="str">
        <f>$B$46</f>
        <v>From Fiscal Forecasts</v>
      </c>
      <c r="F202" s="21">
        <f>'Fiscal Forecasts'!F$239</f>
        <v>5.0919999999999996</v>
      </c>
      <c r="G202" s="21">
        <f>'Fiscal Forecasts'!G$239</f>
        <v>5.5839999999999996</v>
      </c>
      <c r="H202" s="21">
        <f>'Fiscal Forecasts'!H$239</f>
        <v>6.0369999999999999</v>
      </c>
      <c r="I202" s="21">
        <f>'Fiscal Forecasts'!I$239</f>
        <v>5.9909999999999997</v>
      </c>
      <c r="J202" s="21">
        <f>'Fiscal Forecasts'!J$239</f>
        <v>5.9960000000000004</v>
      </c>
      <c r="K202" s="21">
        <f>'Fiscal Forecasts'!K$239</f>
        <v>5.915</v>
      </c>
      <c r="L202" s="21">
        <f>'Fiscal Forecasts'!L$239</f>
        <v>6.0369999999999999</v>
      </c>
      <c r="M202" s="21">
        <f>'Fiscal Forecasts'!M$239</f>
        <v>6.2320000000000002</v>
      </c>
      <c r="N202" s="21">
        <f>'Fiscal Forecasts'!N$239</f>
        <v>6.5519999999999996</v>
      </c>
      <c r="O202" s="24">
        <f>'Fiscal Forecasts'!O$239</f>
        <v>6.7389999999999999</v>
      </c>
      <c r="P202" s="24">
        <f>'Fiscal Forecasts'!P$239</f>
        <v>6.58</v>
      </c>
      <c r="Q202" s="24">
        <f>'Fiscal Forecasts'!Q$239</f>
        <v>6.6059999999999999</v>
      </c>
      <c r="R202" s="24">
        <f>'Fiscal Forecasts'!R$239</f>
        <v>6.6150000000000002</v>
      </c>
      <c r="S202" s="24">
        <f>'Fiscal Forecasts'!S$239</f>
        <v>6.6159999999999997</v>
      </c>
      <c r="T202" s="26">
        <f ca="1">IF(T$4=OFFSET(Choices!$B$10,0,$C$1),AVERAGE((Q$202-Q$245)/(SUM(Q$202,Q$209,Q$216)-SUM(Q$245,Q$249,-Q$390,-Q$393,Q$257,Q$267,Q$279,Q$305,Q$310)),(R$202-R$245)/(SUM(R$202,R$209,R$216)-SUM(R$245,R$249,-R$390,-R$393,R$257,R$267,R$279,R$305,R$310)),(S$202-S$245)/(SUM(S$202,S$209,S$216)-SUM(S$245,S$249,-S$390,-S$393,S$257,S$267,S$279,S$305,S$310))),(S$202-S$245)/(SUM(S$202,S$209,S$216)-SUM(S$245,S$249,-S$390,-S$393,S$257,S$267,S$279,S$305,S$310)))*SUM(T$190,T$364,T$268,T$272,T$275,T$287-T$232,T$295,T$298,T$301,T$306) +T$245</f>
        <v>6.5889855963096027</v>
      </c>
      <c r="U202" s="26">
        <f ca="1">IF(U$4=OFFSET(Choices!$B$10,0,$C$1),AVERAGE((R$202-R$245)/(SUM(R$202,R$209,R$216)-SUM(R$245,R$249,-R$390,-R$393,R$257,R$267,R$279,R$305,R$310)),(S$202-S$245)/(SUM(S$202,S$209,S$216)-SUM(S$245,S$249,-S$390,-S$393,S$257,S$267,S$279,S$305,S$310)),(T$202-T$245)/(SUM(T$202,T$209,T$216)-SUM(T$245,T$249,-T$390,-T$393,T$257,T$267,T$279,T$305,T$310))),(T$202-T$245)/(SUM(T$202,T$209,T$216)-SUM(T$245,T$249,-T$390,-T$393,T$257,T$267,T$279,T$305,T$310)))*SUM(U$190,U$364,U$268,U$272,U$275,U$287-U$232,U$295,U$298,U$301,U$306) +U$245</f>
        <v>6.5897890306639058</v>
      </c>
      <c r="V202" s="26">
        <f ca="1">IF(V$4=OFFSET(Choices!$B$10,0,$C$1),AVERAGE((S$202-S$245)/(SUM(S$202,S$209,S$216)-SUM(S$245,S$249,-S$390,-S$393,S$257,S$267,S$279,S$305,S$310)),(T$202-T$245)/(SUM(T$202,T$209,T$216)-SUM(T$245,T$249,-T$390,-T$393,T$257,T$267,T$279,T$305,T$310)),(U$202-U$245)/(SUM(U$202,U$209,U$216)-SUM(U$245,U$249,-U$390,-U$393,U$257,U$267,U$279,U$305,U$310))),(U$202-U$245)/(SUM(U$202,U$209,U$216)-SUM(U$245,U$249,-U$390,-U$393,U$257,U$267,U$279,U$305,U$310)))*SUM(V$190,V$364,V$268,V$272,V$275,V$287-V$232,V$295,V$298,V$301,V$306) +V$245</f>
        <v>6.5980428668876012</v>
      </c>
      <c r="W202" s="26">
        <f ca="1">IF(W$4=OFFSET(Choices!$B$10,0,$C$1),AVERAGE((T$202-T$245)/(SUM(T$202,T$209,T$216)-SUM(T$245,T$249,-T$390,-T$393,T$257,T$267,T$279,T$305,T$310)),(U$202-U$245)/(SUM(U$202,U$209,U$216)-SUM(U$245,U$249,-U$390,-U$393,U$257,U$267,U$279,U$305,U$310)),(V$202-V$245)/(SUM(V$202,V$209,V$216)-SUM(V$245,V$249,-V$390,-V$393,V$257,V$267,V$279,V$305,V$310))),(V$202-V$245)/(SUM(V$202,V$209,V$216)-SUM(V$245,V$249,-V$390,-V$393,V$257,V$267,V$279,V$305,V$310)))*SUM(W$190,W$364,W$268,W$272,W$275,W$287-W$232,W$295,W$298,W$301,W$306) +W$245</f>
        <v>6.613984528973158</v>
      </c>
      <c r="X202" s="26">
        <f ca="1">IF(X$4=OFFSET(Choices!$B$10,0,$C$1),AVERAGE((U$202-U$245)/(SUM(U$202,U$209,U$216)-SUM(U$245,U$249,-U$390,-U$393,U$257,U$267,U$279,U$305,U$310)),(V$202-V$245)/(SUM(V$202,V$209,V$216)-SUM(V$245,V$249,-V$390,-V$393,V$257,V$267,V$279,V$305,V$310)),(W$202-W$245)/(SUM(W$202,W$209,W$216)-SUM(W$245,W$249,-W$390,-W$393,W$257,W$267,W$279,W$305,W$310))),(W$202-W$245)/(SUM(W$202,W$209,W$216)-SUM(W$245,W$249,-W$390,-W$393,W$257,W$267,W$279,W$305,W$310)))*SUM(X$190,X$364,X$268,X$272,X$275,X$287-X$232,X$295,X$298,X$301,X$306) +X$245</f>
        <v>6.6297527880518228</v>
      </c>
      <c r="Y202" s="26">
        <f ca="1">IF(Y$4=OFFSET(Choices!$B$10,0,$C$1),AVERAGE((V$202-V$245)/(SUM(V$202,V$209,V$216)-SUM(V$245,V$249,-V$390,-V$393,V$257,V$267,V$279,V$305,V$310)),(W$202-W$245)/(SUM(W$202,W$209,W$216)-SUM(W$245,W$249,-W$390,-W$393,W$257,W$267,W$279,W$305,W$310)),(X$202-X$245)/(SUM(X$202,X$209,X$216)-SUM(X$245,X$249,-X$390,-X$393,X$257,X$267,X$279,X$305,X$310))),(X$202-X$245)/(SUM(X$202,X$209,X$216)-SUM(X$245,X$249,-X$390,-X$393,X$257,X$267,X$279,X$305,X$310)))*SUM(Y$190,Y$364,Y$268,Y$272,Y$275,Y$287-Y$232,Y$295,Y$298,Y$301,Y$306) +Y$245</f>
        <v>6.6457994301915502</v>
      </c>
      <c r="Z202" s="26">
        <f ca="1">IF(Z$4=OFFSET(Choices!$B$10,0,$C$1),AVERAGE((W$202-W$245)/(SUM(W$202,W$209,W$216)-SUM(W$245,W$249,-W$390,-W$393,W$257,W$267,W$279,W$305,W$310)),(X$202-X$245)/(SUM(X$202,X$209,X$216)-SUM(X$245,X$249,-X$390,-X$393,X$257,X$267,X$279,X$305,X$310)),(Y$202-Y$245)/(SUM(Y$202,Y$209,Y$216)-SUM(Y$245,Y$249,-Y$390,-Y$393,Y$257,Y$267,Y$279,Y$305,Y$310))),(Y$202-Y$245)/(SUM(Y$202,Y$209,Y$216)-SUM(Y$245,Y$249,-Y$390,-Y$393,Y$257,Y$267,Y$279,Y$305,Y$310)))*SUM(Z$190,Z$364,Z$268,Z$272,Z$275,Z$287-Z$232,Z$295,Z$298,Z$301,Z$306) +Z$245</f>
        <v>6.661487705259864</v>
      </c>
      <c r="AA202" s="26">
        <f ca="1">IF(AA$4=OFFSET(Choices!$B$10,0,$C$1),AVERAGE((X$202-X$245)/(SUM(X$202,X$209,X$216)-SUM(X$245,X$249,-X$390,-X$393,X$257,X$267,X$279,X$305,X$310)),(Y$202-Y$245)/(SUM(Y$202,Y$209,Y$216)-SUM(Y$245,Y$249,-Y$390,-Y$393,Y$257,Y$267,Y$279,Y$305,Y$310)),(Z$202-Z$245)/(SUM(Z$202,Z$209,Z$216)-SUM(Z$245,Z$249,-Z$390,-Z$393,Z$257,Z$267,Z$279,Z$305,Z$310))),(Z$202-Z$245)/(SUM(Z$202,Z$209,Z$216)-SUM(Z$245,Z$249,-Z$390,-Z$393,Z$257,Z$267,Z$279,Z$305,Z$310)))*SUM(AA$190,AA$364,AA$268,AA$272,AA$275,AA$287-AA$232,AA$295,AA$298,AA$301,AA$306) +AA$245</f>
        <v>6.6741377171429326</v>
      </c>
      <c r="AB202" s="26">
        <f ca="1">IF(AB$4=OFFSET(Choices!$B$10,0,$C$1),AVERAGE((Y$202-Y$245)/(SUM(Y$202,Y$209,Y$216)-SUM(Y$245,Y$249,-Y$390,-Y$393,Y$257,Y$267,Y$279,Y$305,Y$310)),(Z$202-Z$245)/(SUM(Z$202,Z$209,Z$216)-SUM(Z$245,Z$249,-Z$390,-Z$393,Z$257,Z$267,Z$279,Z$305,Z$310)),(AA$202-AA$245)/(SUM(AA$202,AA$209,AA$216)-SUM(AA$245,AA$249,-AA$390,-AA$393,AA$257,AA$267,AA$279,AA$305,AA$310))),(AA$202-AA$245)/(SUM(AA$202,AA$209,AA$216)-SUM(AA$245,AA$249,-AA$390,-AA$393,AA$257,AA$267,AA$279,AA$305,AA$310)))*SUM(AB$190,AB$364,AB$268,AB$272,AB$275,AB$287-AB$232,AB$295,AB$298,AB$301,AB$306) +AB$245</f>
        <v>6.6811237757248518</v>
      </c>
      <c r="AC202" s="26">
        <f ca="1">IF(AC$4=OFFSET(Choices!$B$10,0,$C$1),AVERAGE((Z$202-Z$245)/(SUM(Z$202,Z$209,Z$216)-SUM(Z$245,Z$249,-Z$390,-Z$393,Z$257,Z$267,Z$279,Z$305,Z$310)),(AA$202-AA$245)/(SUM(AA$202,AA$209,AA$216)-SUM(AA$245,AA$249,-AA$390,-AA$393,AA$257,AA$267,AA$279,AA$305,AA$310)),(AB$202-AB$245)/(SUM(AB$202,AB$209,AB$216)-SUM(AB$245,AB$249,-AB$390,-AB$393,AB$257,AB$267,AB$279,AB$305,AB$310))),(AB$202-AB$245)/(SUM(AB$202,AB$209,AB$216)-SUM(AB$245,AB$249,-AB$390,-AB$393,AB$257,AB$267,AB$279,AB$305,AB$310)))*SUM(AC$190,AC$364,AC$268,AC$272,AC$275,AC$287-AC$232,AC$295,AC$298,AC$301,AC$306) +AC$245</f>
        <v>6.6887667720312898</v>
      </c>
    </row>
    <row r="203" spans="1:29" x14ac:dyDescent="0.2">
      <c r="A203" s="3" t="s">
        <v>413</v>
      </c>
      <c r="B203" s="4" t="str">
        <f>$B$46</f>
        <v>From Fiscal Forecasts</v>
      </c>
      <c r="F203" s="21">
        <f>'Fiscal Forecasts'!F$240</f>
        <v>8.1829999999999998</v>
      </c>
      <c r="G203" s="21">
        <f>'Fiscal Forecasts'!G$240</f>
        <v>8.7409999999999997</v>
      </c>
      <c r="H203" s="21">
        <f>'Fiscal Forecasts'!H$240</f>
        <v>9.5920000000000005</v>
      </c>
      <c r="I203" s="21">
        <f>'Fiscal Forecasts'!I$240</f>
        <v>10.042999999999999</v>
      </c>
      <c r="J203" s="21">
        <f>'Fiscal Forecasts'!J$240</f>
        <v>10.41</v>
      </c>
      <c r="K203" s="21">
        <f>'Fiscal Forecasts'!K$240</f>
        <v>10.754</v>
      </c>
      <c r="L203" s="21">
        <f>'Fiscal Forecasts'!L$240</f>
        <v>10.965999999999999</v>
      </c>
      <c r="M203" s="21">
        <f>'Fiscal Forecasts'!M$240</f>
        <v>11.315</v>
      </c>
      <c r="N203" s="21">
        <f>'Fiscal Forecasts'!N$240</f>
        <v>11.66</v>
      </c>
      <c r="O203" s="24">
        <f>'Fiscal Forecasts'!O$240</f>
        <v>12.209</v>
      </c>
      <c r="P203" s="24">
        <f>'Fiscal Forecasts'!P$240</f>
        <v>12.311</v>
      </c>
      <c r="Q203" s="24">
        <f>'Fiscal Forecasts'!Q$240</f>
        <v>12.406000000000001</v>
      </c>
      <c r="R203" s="24">
        <f>'Fiscal Forecasts'!R$240</f>
        <v>12.475</v>
      </c>
      <c r="S203" s="24">
        <f>'Fiscal Forecasts'!S$240</f>
        <v>12.653</v>
      </c>
      <c r="T203" s="26">
        <f ca="1">IF(T$4=OFFSET(Choices!$B$10,0,$C$1),AVERAGE((Q$203-(Q$246-Q$245))/SUM(Q$203-(Q$246-Q$245),Q$210,Q$217),(R$203-(R$246-R$245))/SUM(R$203-(R$246-R$245),R$210,R$217),(S$203-(S$246-S$245))/SUM(S$203-(S$246-S$245),S$210,S$217)),(S$203-(S$246-S$245))/SUM(S$203-(S$246-S$245),S$210,S$217))*SUM(T$192-T$233,T$250,T$259,T$280,T$291-(T$246-T$245)) +T$246-T$245</f>
        <v>12.793031635710426</v>
      </c>
      <c r="U203" s="26">
        <f ca="1">IF(U$4=OFFSET(Choices!$B$10,0,$C$1),AVERAGE((R$203-(R$246-R$245))/SUM(R$203-(R$246-R$245),R$210,R$217),(S$203-(S$246-S$245))/SUM(S$203-(S$246-S$245),S$210,S$217),(T$203-(T$246-T$245))/SUM(T$203-(T$246-T$245),T$210,T$217)),(T$203-(T$246-T$245))/SUM(T$203-(T$246-T$245),T$210,T$217))*SUM(U$192-U$233,U$250,U$259,U$280,U$291-(U$246-U$245)) +U$246-U$245</f>
        <v>12.968943689318513</v>
      </c>
      <c r="V203" s="26">
        <f ca="1">IF(V$4=OFFSET(Choices!$B$10,0,$C$1),AVERAGE((S$203-(S$246-S$245))/SUM(S$203-(S$246-S$245),S$210,S$217),(T$203-(T$246-T$245))/SUM(T$203-(T$246-T$245),T$210,T$217),(U$203-(U$246-U$245))/SUM(U$203-(U$246-U$245),U$210,U$217)),(U$203-(U$246-U$245))/SUM(U$203-(U$246-U$245),U$210,U$217))*SUM(V$192-V$233,V$250,V$259,V$280,V$291-(V$246-V$245)) +V$246-V$245</f>
        <v>13.154983854000402</v>
      </c>
      <c r="W203" s="26">
        <f ca="1">IF(W$4=OFFSET(Choices!$B$10,0,$C$1),AVERAGE((T$203-(T$246-T$245))/SUM(T$203-(T$246-T$245),T$210,T$217),(U$203-(U$246-U$245))/SUM(U$203-(U$246-U$245),U$210,U$217),(V$203-(V$246-V$245))/SUM(V$203-(V$246-V$245),V$210,V$217)),(V$203-(V$246-V$245))/SUM(V$203-(V$246-V$245),V$210,V$217))*SUM(W$192-W$233,W$250,W$259,W$280,W$291-(W$246-W$245)) +W$246-W$245</f>
        <v>13.350133958339276</v>
      </c>
      <c r="X203" s="26">
        <f ca="1">IF(X$4=OFFSET(Choices!$B$10,0,$C$1),AVERAGE((U$203-(U$246-U$245))/SUM(U$203-(U$246-U$245),U$210,U$217),(V$203-(V$246-V$245))/SUM(V$203-(V$246-V$245),V$210,V$217),(W$203-(W$246-W$245))/SUM(W$203-(W$246-W$245),W$210,W$217)),(W$203-(W$246-W$245))/SUM(W$203-(W$246-W$245),W$210,W$217))*SUM(X$192-X$233,X$250,X$259,X$280,X$291-(X$246-X$245)) +X$246-X$245</f>
        <v>13.553159799494754</v>
      </c>
      <c r="Y203" s="26">
        <f ca="1">IF(Y$4=OFFSET(Choices!$B$10,0,$C$1),AVERAGE((V$203-(V$246-V$245))/SUM(V$203-(V$246-V$245),V$210,V$217),(W$203-(W$246-W$245))/SUM(W$203-(W$246-W$245),W$210,W$217),(X$203-(X$246-X$245))/SUM(X$203-(X$246-X$245),X$210,X$217)),(X$203-(X$246-X$245))/SUM(X$203-(X$246-X$245),X$210,X$217))*SUM(Y$192-Y$233,Y$250,Y$259,Y$280,Y$291-(Y$246-Y$245)) +Y$246-Y$245</f>
        <v>13.76233322923132</v>
      </c>
      <c r="Z203" s="26">
        <f ca="1">IF(Z$4=OFFSET(Choices!$B$10,0,$C$1),AVERAGE((W$203-(W$246-W$245))/SUM(W$203-(W$246-W$245),W$210,W$217),(X$203-(X$246-X$245))/SUM(X$203-(X$246-X$245),X$210,X$217),(Y$203-(Y$246-Y$245))/SUM(Y$203-(Y$246-Y$245),Y$210,Y$217)),(Y$203-(Y$246-Y$245))/SUM(Y$203-(Y$246-Y$245),Y$210,Y$217))*SUM(Z$192-Z$233,Z$250,Z$259,Z$280,Z$291-(Z$246-Z$245)) +Z$246-Z$245</f>
        <v>13.977004913411209</v>
      </c>
      <c r="AA203" s="26">
        <f ca="1">IF(AA$4=OFFSET(Choices!$B$10,0,$C$1),AVERAGE((X$203-(X$246-X$245))/SUM(X$203-(X$246-X$245),X$210,X$217),(Y$203-(Y$246-Y$245))/SUM(Y$203-(Y$246-Y$245),Y$210,Y$217),(Z$203-(Z$246-Z$245))/SUM(Z$203-(Z$246-Z$245),Z$210,Z$217)),(Z$203-(Z$246-Z$245))/SUM(Z$203-(Z$246-Z$245),Z$210,Z$217))*SUM(AA$192-AA$233,AA$250,AA$259,AA$280,AA$291-(AA$246-AA$245)) +AA$246-AA$245</f>
        <v>14.197343737591932</v>
      </c>
      <c r="AB203" s="26">
        <f ca="1">IF(AB$4=OFFSET(Choices!$B$10,0,$C$1),AVERAGE((Y$203-(Y$246-Y$245))/SUM(Y$203-(Y$246-Y$245),Y$210,Y$217),(Z$203-(Z$246-Z$245))/SUM(Z$203-(Z$246-Z$245),Z$210,Z$217),(AA$203-(AA$246-AA$245))/SUM(AA$203-(AA$246-AA$245),AA$210,AA$217)),(AA$203-(AA$246-AA$245))/SUM(AA$203-(AA$246-AA$245),AA$210,AA$217))*SUM(AB$192-AB$233,AB$250,AB$259,AB$280,AB$291-(AB$246-AB$245)) +AB$246-AB$245</f>
        <v>14.420975798636505</v>
      </c>
      <c r="AC203" s="26">
        <f ca="1">IF(AC$4=OFFSET(Choices!$B$10,0,$C$1),AVERAGE((Z$203-(Z$246-Z$245))/SUM(Z$203-(Z$246-Z$245),Z$210,Z$217),(AA$203-(AA$246-AA$245))/SUM(AA$203-(AA$246-AA$245),AA$210,AA$217),(AB$203-(AB$246-AB$245))/SUM(AB$203-(AB$246-AB$245),AB$210,AB$217)),(AB$203-(AB$246-AB$245))/SUM(AB$203-(AB$246-AB$245),AB$210,AB$217))*SUM(AC$192-AC$233,AC$250,AC$259,AC$280,AC$291-(AC$246-AC$245)) +AC$246-AC$245</f>
        <v>14.650741767107458</v>
      </c>
    </row>
    <row r="204" spans="1:29" x14ac:dyDescent="0.2">
      <c r="A204" s="3" t="s">
        <v>414</v>
      </c>
      <c r="B204" s="4" t="str">
        <f>$B$46</f>
        <v>From Fiscal Forecasts</v>
      </c>
      <c r="F204" s="21">
        <f>'Fiscal Forecasts'!F$241</f>
        <v>2.0179999999999998</v>
      </c>
      <c r="G204" s="21">
        <f>'Fiscal Forecasts'!G$241</f>
        <v>2.1640000000000001</v>
      </c>
      <c r="H204" s="21">
        <f>'Fiscal Forecasts'!H$241</f>
        <v>2.4470000000000001</v>
      </c>
      <c r="I204" s="21">
        <f>'Fiscal Forecasts'!I$241</f>
        <v>2.4550000000000001</v>
      </c>
      <c r="J204" s="21">
        <f>'Fiscal Forecasts'!J$241</f>
        <v>2.6949999999999998</v>
      </c>
      <c r="K204" s="21">
        <f>'Fiscal Forecasts'!K$241</f>
        <v>2.819</v>
      </c>
      <c r="L204" s="21">
        <f>'Fiscal Forecasts'!L$241</f>
        <v>2.9489999999999998</v>
      </c>
      <c r="M204" s="21">
        <f>'Fiscal Forecasts'!M$241</f>
        <v>2.956</v>
      </c>
      <c r="N204" s="21">
        <f>'Fiscal Forecasts'!N$241</f>
        <v>2.9350000000000001</v>
      </c>
      <c r="O204" s="24">
        <f>'Fiscal Forecasts'!O$241</f>
        <v>2.9209999999999998</v>
      </c>
      <c r="P204" s="24">
        <f>'Fiscal Forecasts'!P$241</f>
        <v>2.9129999999999998</v>
      </c>
      <c r="Q204" s="24">
        <f>'Fiscal Forecasts'!Q$241</f>
        <v>2.9380000000000002</v>
      </c>
      <c r="R204" s="24">
        <f>'Fiscal Forecasts'!R$241</f>
        <v>2.996</v>
      </c>
      <c r="S204" s="24">
        <f>'Fiscal Forecasts'!S$241</f>
        <v>3.056</v>
      </c>
      <c r="T204" s="26">
        <f ca="1">IF(T$4=OFFSET(Choices!$B$10,0,$C$1),AVERAGE(Q$204/SUM(Q$204,Q$211,Q$218),R$204/SUM(R$204,R$211,R$218),S$204/SUM(S$204,S$211,S$218)),S$204/SUM(S$204,S$211,S$218))*SUM(T$260,T$281,T$292-T$234)</f>
        <v>3.2403026281733514</v>
      </c>
      <c r="U204" s="26">
        <f ca="1">IF(U$4=OFFSET(Choices!$B$10,0,$C$1),AVERAGE(R$204/SUM(R$204,R$211,R$218),S$204/SUM(S$204,S$211,S$218),T$204/SUM(T$204,T$211,T$218)),T$204/SUM(T$204,T$211,T$218))*SUM(U$260,U$281,U$292-U$234)</f>
        <v>3.3839431762900296</v>
      </c>
      <c r="V204" s="26">
        <f ca="1">IF(V$4=OFFSET(Choices!$B$10,0,$C$1),AVERAGE(S$204/SUM(S$204,S$211,S$218),T$204/SUM(T$204,T$211,T$218),U$204/SUM(U$204,U$211,U$218)),U$204/SUM(U$204,U$211,U$218))*SUM(V$260,V$281,V$292-V$234)</f>
        <v>3.5358486133863072</v>
      </c>
      <c r="W204" s="26">
        <f ca="1">IF(W$4=OFFSET(Choices!$B$10,0,$C$1),AVERAGE(T$204/SUM(T$204,T$211,T$218),U$204/SUM(U$204,U$211,U$218),V$204/SUM(V$204,V$211,V$218)),V$204/SUM(V$204,V$211,V$218))*SUM(W$260,W$281,W$292-W$234)</f>
        <v>3.6933958334180197</v>
      </c>
      <c r="X204" s="26">
        <f ca="1">IF(X$4=OFFSET(Choices!$B$10,0,$C$1),AVERAGE(U$204/SUM(U$204,U$211,U$218),V$204/SUM(V$204,V$211,V$218),W$204/SUM(W$204,W$211,W$218)),W$204/SUM(W$204,W$211,W$218))*SUM(X$260,X$281,X$292-X$234)</f>
        <v>3.8574517686440348</v>
      </c>
      <c r="Y204" s="26">
        <f ca="1">IF(Y$4=OFFSET(Choices!$B$10,0,$C$1),AVERAGE(V$204/SUM(V$204,V$211,V$218),W$204/SUM(W$204,W$211,W$218),X$204/SUM(X$204,X$211,X$218)),X$204/SUM(X$204,X$211,X$218))*SUM(Y$260,Y$281,Y$292-Y$234)</f>
        <v>4.0268107240092199</v>
      </c>
      <c r="Z204" s="26">
        <f ca="1">IF(Z$4=OFFSET(Choices!$B$10,0,$C$1),AVERAGE(W$204/SUM(W$204,W$211,W$218),X$204/SUM(X$204,X$211,X$218),Y$204/SUM(Y$204,Y$211,Y$218)),Y$204/SUM(Y$204,Y$211,Y$218))*SUM(Z$260,Z$281,Z$292-Z$234)</f>
        <v>4.2011334044566411</v>
      </c>
      <c r="AA204" s="26">
        <f ca="1">IF(AA$4=OFFSET(Choices!$B$10,0,$C$1),AVERAGE(X$204/SUM(X$204,X$211,X$218),Y$204/SUM(Y$204,Y$211,Y$218),Z$204/SUM(Z$204,Z$211,Z$218)),Z$204/SUM(Z$204,Z$211,Z$218))*SUM(AA$260,AA$281,AA$292-AA$234)</f>
        <v>4.3805380187794665</v>
      </c>
      <c r="AB204" s="26">
        <f ca="1">IF(AB$4=OFFSET(Choices!$B$10,0,$C$1),AVERAGE(Y$204/SUM(Y$204,Y$211,Y$218),Z$204/SUM(Z$204,Z$211,Z$218),AA$204/SUM(AA$204,AA$211,AA$218)),AA$204/SUM(AA$204,AA$211,AA$218))*SUM(AB$260,AB$281,AB$292-AB$234)</f>
        <v>4.5643313502530036</v>
      </c>
      <c r="AC204" s="26">
        <f ca="1">IF(AC$4=OFFSET(Choices!$B$10,0,$C$1),AVERAGE(Z$204/SUM(Z$204,Z$211,Z$218),AA$204/SUM(AA$204,AA$211,AA$218),AB$204/SUM(AB$204,AB$211,AB$218)),AB$204/SUM(AB$204,AB$211,AB$218))*SUM(AC$260,AC$281,AC$292-AC$234)</f>
        <v>4.7534716230562077</v>
      </c>
    </row>
    <row r="205" spans="1:29" x14ac:dyDescent="0.2">
      <c r="A205" s="3" t="s">
        <v>415</v>
      </c>
      <c r="B205" s="4" t="str">
        <f>$B$46</f>
        <v>From Fiscal Forecasts</v>
      </c>
      <c r="F205" s="21">
        <f>'Fiscal Forecasts'!F$242</f>
        <v>-8.9999999999999993E-3</v>
      </c>
      <c r="G205" s="21">
        <f>'Fiscal Forecasts'!G$242</f>
        <v>-1.0999999999999999E-2</v>
      </c>
      <c r="H205" s="21">
        <f>'Fiscal Forecasts'!H$242</f>
        <v>-1.2E-2</v>
      </c>
      <c r="I205" s="21">
        <f>'Fiscal Forecasts'!I$242</f>
        <v>-1.2E-2</v>
      </c>
      <c r="J205" s="21">
        <f>'Fiscal Forecasts'!J$242</f>
        <v>-1.2999999999999999E-2</v>
      </c>
      <c r="K205" s="21">
        <f>'Fiscal Forecasts'!K$242</f>
        <v>-1.2999999999999999E-2</v>
      </c>
      <c r="L205" s="21">
        <f>'Fiscal Forecasts'!L$242</f>
        <v>-1.7000000000000001E-2</v>
      </c>
      <c r="M205" s="21">
        <f>'Fiscal Forecasts'!M$242</f>
        <v>-1.9E-2</v>
      </c>
      <c r="N205" s="21">
        <f>'Fiscal Forecasts'!N$242</f>
        <v>-2.3E-2</v>
      </c>
      <c r="O205" s="24">
        <f>'Fiscal Forecasts'!O$242</f>
        <v>-0.02</v>
      </c>
      <c r="P205" s="24">
        <f>'Fiscal Forecasts'!P$242</f>
        <v>-0.02</v>
      </c>
      <c r="Q205" s="24">
        <f>'Fiscal Forecasts'!Q$242</f>
        <v>-0.02</v>
      </c>
      <c r="R205" s="24">
        <f>'Fiscal Forecasts'!R$242</f>
        <v>-0.02</v>
      </c>
      <c r="S205" s="24">
        <f>'Fiscal Forecasts'!S$242</f>
        <v>-0.02</v>
      </c>
      <c r="T205" s="26">
        <f ca="1">IF(T$4=OFFSET(Choices!$B$10,0,$C$1),AVERAGE(Q$205/SUM(Q$205,Q$212,Q$219),R$205/SUM(R$205,R$212,R$219),S$205/SUM(S$205,S$212,S$219)),S$205/SUM(S$205,S$212,S$219))*SUM(T$193,T$251,T$261,T$282,T$293-T$235)</f>
        <v>-2.0325484953377871E-2</v>
      </c>
      <c r="U205" s="26">
        <f ca="1">IF(U$4=OFFSET(Choices!$B$10,0,$C$1),AVERAGE(R$205/SUM(R$205,R$212,R$219),S$205/SUM(S$205,S$212,S$219),T$205/SUM(T$205,T$212,T$219)),T$205/SUM(T$205,T$212,T$219))*SUM(U$193,U$251,U$261,U$282,U$293-U$235)</f>
        <v>-2.0539696023299497E-2</v>
      </c>
      <c r="V205" s="26">
        <f ca="1">IF(V$4=OFFSET(Choices!$B$10,0,$C$1),AVERAGE(S$205/SUM(S$205,S$212,S$219),T$205/SUM(T$205,T$212,T$219),U$205/SUM(U$205,U$212,U$219)),U$205/SUM(U$205,U$212,U$219))*SUM(V$193,V$251,V$261,V$282,V$293-V$235)</f>
        <v>-2.0765592398074649E-2</v>
      </c>
      <c r="W205" s="26">
        <f ca="1">IF(W$4=OFFSET(Choices!$B$10,0,$C$1),AVERAGE(T$205/SUM(T$205,T$212,T$219),U$205/SUM(U$205,U$212,U$219),V$205/SUM(V$205,V$212,V$219)),V$205/SUM(V$205,V$212,V$219))*SUM(W$193,W$251,W$261,W$282,W$293-W$235)</f>
        <v>-2.1004065809033523E-2</v>
      </c>
      <c r="X205" s="26">
        <f ca="1">IF(X$4=OFFSET(Choices!$B$10,0,$C$1),AVERAGE(U$205/SUM(U$205,U$212,U$219),V$205/SUM(V$205,V$212,V$219),W$205/SUM(W$205,W$212,W$219)),W$205/SUM(W$205,W$212,W$219))*SUM(X$193,X$251,X$261,X$282,X$293-X$235)</f>
        <v>-2.1252623360075367E-2</v>
      </c>
      <c r="Y205" s="26">
        <f ca="1">IF(Y$4=OFFSET(Choices!$B$10,0,$C$1),AVERAGE(V$205/SUM(V$205,V$212,V$219),W$205/SUM(W$205,W$212,W$219),X$205/SUM(X$205,X$212,X$219)),X$205/SUM(X$205,X$212,X$219))*SUM(Y$193,Y$251,Y$261,Y$282,Y$293-Y$235)</f>
        <v>-2.150900698674368E-2</v>
      </c>
      <c r="Z205" s="26">
        <f ca="1">IF(Z$4=OFFSET(Choices!$B$10,0,$C$1),AVERAGE(W$205/SUM(W$205,W$212,W$219),X$205/SUM(X$205,X$212,X$219),Y$205/SUM(Y$205,Y$212,Y$219)),Y$205/SUM(Y$205,Y$212,Y$219))*SUM(Z$193,Z$251,Z$261,Z$282,Z$293-Z$235)</f>
        <v>-2.1769698619094151E-2</v>
      </c>
      <c r="AA205" s="26">
        <f ca="1">IF(AA$4=OFFSET(Choices!$B$10,0,$C$1),AVERAGE(X$205/SUM(X$205,X$212,X$219),Y$205/SUM(Y$205,Y$212,Y$219),Z$205/SUM(Z$205,Z$212,Z$219)),Z$205/SUM(Z$205,Z$212,Z$219))*SUM(AA$193,AA$251,AA$261,AA$282,AA$293-AA$235)</f>
        <v>-2.2036763704555842E-2</v>
      </c>
      <c r="AB205" s="26">
        <f ca="1">IF(AB$4=OFFSET(Choices!$B$10,0,$C$1),AVERAGE(Y$205/SUM(Y$205,Y$212,Y$219),Z$205/SUM(Z$205,Z$212,Z$219),AA$205/SUM(AA$205,AA$212,AA$219)),AA$205/SUM(AA$205,AA$212,AA$219))*SUM(AB$193,AB$251,AB$261,AB$282,AB$293-AB$235)</f>
        <v>-2.2306873070623505E-2</v>
      </c>
      <c r="AC205" s="26">
        <f ca="1">IF(AC$4=OFFSET(Choices!$B$10,0,$C$1),AVERAGE(Z$205/SUM(Z$205,Z$212,Z$219),AA$205/SUM(AA$205,AA$212,AA$219),AB$205/SUM(AB$205,AB$212,AB$219)),AB$205/SUM(AB$205,AB$212,AB$219))*SUM(AC$193,AC$251,AC$261,AC$282,AC$293-AC$235)</f>
        <v>-2.2583441671982046E-2</v>
      </c>
    </row>
    <row r="206" spans="1:29" x14ac:dyDescent="0.2">
      <c r="A206" s="31" t="s">
        <v>477</v>
      </c>
      <c r="F206" s="56">
        <f>SUM(F$202:F$205)</f>
        <v>15.283999999999999</v>
      </c>
      <c r="G206" s="56">
        <f t="shared" ref="G206:AC206" si="134">SUM(G$202:G$205)</f>
        <v>16.478000000000002</v>
      </c>
      <c r="H206" s="56">
        <f t="shared" si="134"/>
        <v>18.064</v>
      </c>
      <c r="I206" s="56">
        <f t="shared" si="134"/>
        <v>18.476999999999997</v>
      </c>
      <c r="J206" s="56">
        <f t="shared" si="134"/>
        <v>19.087999999999997</v>
      </c>
      <c r="K206" s="56">
        <f t="shared" si="134"/>
        <v>19.474999999999998</v>
      </c>
      <c r="L206" s="56">
        <f t="shared" si="134"/>
        <v>19.934999999999999</v>
      </c>
      <c r="M206" s="56">
        <f t="shared" si="134"/>
        <v>20.484000000000002</v>
      </c>
      <c r="N206" s="56">
        <f t="shared" si="134"/>
        <v>21.123999999999999</v>
      </c>
      <c r="O206" s="57">
        <f t="shared" si="134"/>
        <v>21.849</v>
      </c>
      <c r="P206" s="57">
        <f t="shared" si="134"/>
        <v>21.783999999999999</v>
      </c>
      <c r="Q206" s="57">
        <f t="shared" si="134"/>
        <v>21.93</v>
      </c>
      <c r="R206" s="57">
        <f t="shared" si="134"/>
        <v>22.065999999999999</v>
      </c>
      <c r="S206" s="57">
        <f t="shared" si="134"/>
        <v>22.305</v>
      </c>
      <c r="T206" s="58">
        <f t="shared" ca="1" si="134"/>
        <v>22.60199437524</v>
      </c>
      <c r="U206" s="58">
        <f t="shared" ca="1" si="134"/>
        <v>22.922136200249149</v>
      </c>
      <c r="V206" s="58">
        <f t="shared" ca="1" si="134"/>
        <v>23.268109741876234</v>
      </c>
      <c r="W206" s="58">
        <f t="shared" ca="1" si="134"/>
        <v>23.636510254921419</v>
      </c>
      <c r="X206" s="58">
        <f t="shared" ca="1" si="134"/>
        <v>24.019111732830531</v>
      </c>
      <c r="Y206" s="58">
        <f t="shared" ca="1" si="134"/>
        <v>24.413434376445345</v>
      </c>
      <c r="Z206" s="58">
        <f t="shared" ca="1" si="134"/>
        <v>24.817856324508618</v>
      </c>
      <c r="AA206" s="58">
        <f t="shared" ca="1" si="134"/>
        <v>25.229982709809775</v>
      </c>
      <c r="AB206" s="58">
        <f t="shared" ca="1" si="134"/>
        <v>25.644124051543738</v>
      </c>
      <c r="AC206" s="58">
        <f t="shared" ca="1" si="134"/>
        <v>26.070396720522972</v>
      </c>
    </row>
    <row r="208" spans="1:29" x14ac:dyDescent="0.2">
      <c r="A208" s="31" t="s">
        <v>231</v>
      </c>
    </row>
    <row r="209" spans="1:29" x14ac:dyDescent="0.2">
      <c r="A209" s="3" t="s">
        <v>412</v>
      </c>
      <c r="B209" s="4" t="str">
        <f>$B$46</f>
        <v>From Fiscal Forecasts</v>
      </c>
      <c r="F209" s="21">
        <f>'Fiscal Forecasts'!F$245</f>
        <v>1.1600000000000001</v>
      </c>
      <c r="G209" s="21">
        <f>'Fiscal Forecasts'!G$245</f>
        <v>1.2049999999999983</v>
      </c>
      <c r="H209" s="21">
        <f>'Fiscal Forecasts'!H$245</f>
        <v>1.6130000000000067</v>
      </c>
      <c r="I209" s="21">
        <f>'Fiscal Forecasts'!I$245</f>
        <v>1.3849999999999909</v>
      </c>
      <c r="J209" s="21">
        <f>'Fiscal Forecasts'!J$245</f>
        <v>1.6850000000000023</v>
      </c>
      <c r="K209" s="21">
        <f>'Fiscal Forecasts'!K$245</f>
        <v>1.3870000000000005</v>
      </c>
      <c r="L209" s="21">
        <f>'Fiscal Forecasts'!L$245</f>
        <v>1.3779999999999999</v>
      </c>
      <c r="M209" s="21">
        <f>'Fiscal Forecasts'!M$245</f>
        <v>1.476</v>
      </c>
      <c r="N209" s="21">
        <f>'Fiscal Forecasts'!N$245</f>
        <v>1.4410000000000001</v>
      </c>
      <c r="O209" s="24">
        <f>'Fiscal Forecasts'!O$245</f>
        <v>1.55</v>
      </c>
      <c r="P209" s="24">
        <f>'Fiscal Forecasts'!P$245</f>
        <v>1.5780000000000001</v>
      </c>
      <c r="Q209" s="24">
        <f>'Fiscal Forecasts'!Q$245</f>
        <v>1.617</v>
      </c>
      <c r="R209" s="24">
        <f>'Fiscal Forecasts'!R$245</f>
        <v>1.694</v>
      </c>
      <c r="S209" s="24">
        <f>'Fiscal Forecasts'!S$245</f>
        <v>1.724</v>
      </c>
      <c r="T209" s="26">
        <f t="shared" ref="T209:AC209" ca="1" si="135">T$410+(S$209-S$410)*T$29/S$29</f>
        <v>1.7811724715356205</v>
      </c>
      <c r="U209" s="26">
        <f t="shared" ca="1" si="135"/>
        <v>1.8295789064189343</v>
      </c>
      <c r="V209" s="26">
        <f t="shared" ca="1" si="135"/>
        <v>1.8778080316003334</v>
      </c>
      <c r="W209" s="26">
        <f t="shared" ca="1" si="135"/>
        <v>1.9303478283628548</v>
      </c>
      <c r="X209" s="26">
        <f t="shared" ca="1" si="135"/>
        <v>1.9823854201362485</v>
      </c>
      <c r="Y209" s="26">
        <f t="shared" ca="1" si="135"/>
        <v>2.0354896816904078</v>
      </c>
      <c r="Z209" s="26">
        <f t="shared" ca="1" si="135"/>
        <v>2.0896076317334398</v>
      </c>
      <c r="AA209" s="26">
        <f t="shared" ca="1" si="135"/>
        <v>2.1446935026644951</v>
      </c>
      <c r="AB209" s="26">
        <f t="shared" ca="1" si="135"/>
        <v>2.200753369135477</v>
      </c>
      <c r="AC209" s="26">
        <f t="shared" ca="1" si="135"/>
        <v>2.2578040059008444</v>
      </c>
    </row>
    <row r="210" spans="1:29" x14ac:dyDescent="0.2">
      <c r="A210" s="3" t="s">
        <v>413</v>
      </c>
      <c r="B210" s="4" t="str">
        <f>$B$46</f>
        <v>From Fiscal Forecasts</v>
      </c>
      <c r="F210" s="21">
        <f>'Fiscal Forecasts'!F$246</f>
        <v>1.2999999999999989</v>
      </c>
      <c r="G210" s="21">
        <f>'Fiscal Forecasts'!G$246</f>
        <v>1.3629999999999978</v>
      </c>
      <c r="H210" s="21">
        <f>'Fiscal Forecasts'!H$246</f>
        <v>1.4749999999999996</v>
      </c>
      <c r="I210" s="21">
        <f>'Fiscal Forecasts'!I$246</f>
        <v>1.5390000000000015</v>
      </c>
      <c r="J210" s="21">
        <f>'Fiscal Forecasts'!J$246</f>
        <v>1.3960000000000043</v>
      </c>
      <c r="K210" s="21">
        <f>'Fiscal Forecasts'!K$246</f>
        <v>1.2299999999999969</v>
      </c>
      <c r="L210" s="21">
        <f>'Fiscal Forecasts'!L$246</f>
        <v>1.583</v>
      </c>
      <c r="M210" s="21">
        <f>'Fiscal Forecasts'!M$246</f>
        <v>1.661</v>
      </c>
      <c r="N210" s="21">
        <f>'Fiscal Forecasts'!N$246</f>
        <v>1.7509999999999999</v>
      </c>
      <c r="O210" s="24">
        <f>'Fiscal Forecasts'!O$246</f>
        <v>1.7769999999999999</v>
      </c>
      <c r="P210" s="24">
        <f>'Fiscal Forecasts'!P$246</f>
        <v>1.881</v>
      </c>
      <c r="Q210" s="24">
        <f>'Fiscal Forecasts'!Q$246</f>
        <v>1.946</v>
      </c>
      <c r="R210" s="24">
        <f>'Fiscal Forecasts'!R$246</f>
        <v>2.004</v>
      </c>
      <c r="S210" s="24">
        <f>'Fiscal Forecasts'!S$246</f>
        <v>2.0579999999999998</v>
      </c>
      <c r="T210" s="26">
        <f ca="1">IF(T$4=OFFSET(Choices!$B$10,0,$C$1),AVERAGE(Q$210/SUM(Q$210,Q$211),R$210/SUM(R$210,R$211),S$210/SUM(S$210,S$211)),S$210/SUM(S$210,S$211))*((T$413-T$410)+(SUM(S$210,S$211)-(S$413-S$410))*T$29/S$29)</f>
        <v>2.0347395751761819</v>
      </c>
      <c r="U210" s="26">
        <f ca="1">IF(U$4=OFFSET(Choices!$B$10,0,$C$1),AVERAGE(R$210/SUM(R$210,R$211),S$210/SUM(S$210,S$211),T$210/SUM(T$210,T$211)),T$210/SUM(T$210,T$211))*((U$413-U$410)+(SUM(T$210,T$211)-(T$413-T$410))*U$29/T$29)</f>
        <v>2.052528714396602</v>
      </c>
      <c r="V210" s="26">
        <f ca="1">IF(V$4=OFFSET(Choices!$B$10,0,$C$1),AVERAGE(S$210/SUM(S$210,S$211),T$210/SUM(T$210,T$211),U$210/SUM(U$210,U$211)),U$210/SUM(U$210,U$211))*((V$413-V$410)+(SUM(U$210,U$211)-(U$413-U$410))*V$29/U$29)</f>
        <v>2.0734763705985104</v>
      </c>
      <c r="W210" s="26">
        <f ca="1">IF(W$4=OFFSET(Choices!$B$10,0,$C$1),AVERAGE(T$210/SUM(T$210,T$211),U$210/SUM(U$210,U$211),V$210/SUM(V$210,V$211)),V$210/SUM(V$210,V$211))*((W$413-W$410)+(SUM(V$210,V$211)-(V$413-V$410))*W$29/V$29)</f>
        <v>2.0976826826303094</v>
      </c>
      <c r="X210" s="26">
        <f ca="1">IF(X$4=OFFSET(Choices!$B$10,0,$C$1),AVERAGE(U$210/SUM(U$210,U$211),V$210/SUM(V$210,V$211),W$210/SUM(W$210,W$211)),W$210/SUM(W$210,W$211))*((X$413-X$410)+(SUM(W$210,W$211)-(W$413-W$410))*X$29/W$29)</f>
        <v>2.1251782227138811</v>
      </c>
      <c r="Y210" s="26">
        <f ca="1">IF(Y$4=OFFSET(Choices!$B$10,0,$C$1),AVERAGE(V$210/SUM(V$210,V$211),W$210/SUM(W$210,W$211),X$210/SUM(X$210,X$211)),X$210/SUM(X$210,X$211))*((Y$413-Y$410)+(SUM(X$210,X$211)-(X$413-X$410))*Y$29/X$29)</f>
        <v>2.1560140497106985</v>
      </c>
      <c r="Z210" s="26">
        <f ca="1">IF(Z$4=OFFSET(Choices!$B$10,0,$C$1),AVERAGE(W$210/SUM(W$210,W$211),X$210/SUM(X$210,X$211),Y$210/SUM(Y$210,Y$211)),Y$210/SUM(Y$210,Y$211))*((Z$413-Z$410)+(SUM(Y$210,Y$211)-(Y$413-Y$410))*Z$29/Y$29)</f>
        <v>2.1902093179527755</v>
      </c>
      <c r="AA210" s="26">
        <f ca="1">IF(AA$4=OFFSET(Choices!$B$10,0,$C$1),AVERAGE(X$210/SUM(X$210,X$211),Y$210/SUM(Y$210,Y$211),Z$210/SUM(Z$210,Z$211)),Z$210/SUM(Z$210,Z$211))*((AA$413-AA$410)+(SUM(Z$210,Z$211)-(Z$413-Z$410))*AA$29/Z$29)</f>
        <v>2.2277738574032457</v>
      </c>
      <c r="AB210" s="26">
        <f ca="1">IF(AB$4=OFFSET(Choices!$B$10,0,$C$1),AVERAGE(Y$210/SUM(Y$210,Y$211),Z$210/SUM(Z$210,Z$211),AA$210/SUM(AA$210,AA$211)),AA$210/SUM(AA$210,AA$211))*((AB$413-AB$410)+(SUM(AA$210,AA$211)-(AA$413-AA$410))*AB$29/AA$29)</f>
        <v>2.2687203175231723</v>
      </c>
      <c r="AC210" s="26">
        <f ca="1">IF(AC$4=OFFSET(Choices!$B$10,0,$C$1),AVERAGE(Z$210/SUM(Z$210,Z$211),AA$210/SUM(AA$210,AA$211),AB$210/SUM(AB$210,AB$211)),AB$210/SUM(AB$210,AB$211))*((AC$413-AC$410)+(SUM(AB$210,AB$211)-(AB$413-AB$410))*AC$29/AB$29)</f>
        <v>2.3130434668245519</v>
      </c>
    </row>
    <row r="211" spans="1:29" x14ac:dyDescent="0.2">
      <c r="A211" s="3" t="s">
        <v>414</v>
      </c>
      <c r="B211" s="4" t="str">
        <f>$B$46</f>
        <v>From Fiscal Forecasts</v>
      </c>
      <c r="F211" s="21">
        <f>'Fiscal Forecasts'!F$247</f>
        <v>0.93799999999999972</v>
      </c>
      <c r="G211" s="21">
        <f>'Fiscal Forecasts'!G$247</f>
        <v>1.1020000000000003</v>
      </c>
      <c r="H211" s="21">
        <f>'Fiscal Forecasts'!H$247</f>
        <v>1.2870000000000008</v>
      </c>
      <c r="I211" s="21">
        <f>'Fiscal Forecasts'!I$247</f>
        <v>1.3060000000000009</v>
      </c>
      <c r="J211" s="21">
        <f>'Fiscal Forecasts'!J$247</f>
        <v>1.6020000000000003</v>
      </c>
      <c r="K211" s="21">
        <f>'Fiscal Forecasts'!K$247</f>
        <v>3.7350000000000012</v>
      </c>
      <c r="L211" s="21">
        <f>'Fiscal Forecasts'!L$247</f>
        <v>1.851</v>
      </c>
      <c r="M211" s="21">
        <f>'Fiscal Forecasts'!M$247</f>
        <v>1.7350000000000001</v>
      </c>
      <c r="N211" s="21">
        <f>'Fiscal Forecasts'!N$247</f>
        <v>1.65</v>
      </c>
      <c r="O211" s="24">
        <f>'Fiscal Forecasts'!O$247</f>
        <v>1.609</v>
      </c>
      <c r="P211" s="24">
        <f>'Fiscal Forecasts'!P$247</f>
        <v>1.6539999999999999</v>
      </c>
      <c r="Q211" s="24">
        <f>'Fiscal Forecasts'!Q$247</f>
        <v>1.744</v>
      </c>
      <c r="R211" s="24">
        <f>'Fiscal Forecasts'!R$247</f>
        <v>1.7450000000000001</v>
      </c>
      <c r="S211" s="24">
        <f>'Fiscal Forecasts'!S$247</f>
        <v>1.728</v>
      </c>
      <c r="T211" s="26">
        <f ca="1">IF(T$4=OFFSET(Choices!$B$10,0,$C$1),AVERAGE(Q$211/SUM(Q$210,Q$211),R$211/SUM(R$210,R$211),S$211/SUM(S$210,S$211)),S$211/SUM(S$210,S$211))*((T$413-T$410)+(SUM(S$210,S$211)-(S$413-S$410))*T$29/S$29)</f>
        <v>1.7673383335729365</v>
      </c>
      <c r="U211" s="26">
        <f ca="1">IF(U$4=OFFSET(Choices!$B$10,0,$C$1),AVERAGE(R$211/SUM(R$210,R$211),S$211/SUM(S$210,S$211),T$211/SUM(T$210,T$211)),T$211/SUM(T$210,T$211))*((U$413-U$410)+(SUM(T$210,T$211)-(T$413-T$410))*U$29/T$29)</f>
        <v>1.7827896611281062</v>
      </c>
      <c r="V211" s="26">
        <f ca="1">IF(V$4=OFFSET(Choices!$B$10,0,$C$1),AVERAGE(S$211/SUM(S$210,S$211),T$211/SUM(T$210,T$211),U$211/SUM(U$210,U$211)),U$211/SUM(U$210,U$211))*((V$413-V$410)+(SUM(U$210,U$211)-(U$413-U$410))*V$29/U$29)</f>
        <v>1.8009844199344924</v>
      </c>
      <c r="W211" s="26">
        <f ca="1">IF(W$4=OFFSET(Choices!$B$10,0,$C$1),AVERAGE(T$211/SUM(T$210,T$211),U$211/SUM(U$210,U$211),V$211/SUM(V$210,V$211)),V$211/SUM(V$210,V$211))*((W$413-W$410)+(SUM(V$210,V$211)-(V$413-V$410))*W$29/V$29)</f>
        <v>1.8220095888013836</v>
      </c>
      <c r="X211" s="26">
        <f ca="1">IF(X$4=OFFSET(Choices!$B$10,0,$C$1),AVERAGE(U$211/SUM(U$210,U$211),V$211/SUM(V$210,V$211),W$211/SUM(W$210,W$211)),W$211/SUM(W$210,W$211))*((X$413-X$410)+(SUM(W$210,W$211)-(W$413-W$410))*X$29/W$29)</f>
        <v>1.8458917222128692</v>
      </c>
      <c r="Y211" s="26">
        <f ca="1">IF(Y$4=OFFSET(Choices!$B$10,0,$C$1),AVERAGE(V$211/SUM(V$210,V$211),W$211/SUM(W$210,W$211),X$211/SUM(X$210,X$211)),X$211/SUM(X$210,X$211))*((Y$413-Y$410)+(SUM(X$210,X$211)-(X$413-X$410))*Y$29/X$29)</f>
        <v>1.8726751689810779</v>
      </c>
      <c r="Z211" s="26">
        <f ca="1">IF(Z$4=OFFSET(Choices!$B$10,0,$C$1),AVERAGE(W$211/SUM(W$210,W$211),X$211/SUM(X$210,X$211),Y$211/SUM(Y$210,Y$211)),Y$211/SUM(Y$210,Y$211))*((Z$413-Z$410)+(SUM(Y$210,Y$211)-(Y$413-Y$410))*Z$29/Y$29)</f>
        <v>1.9023765662155612</v>
      </c>
      <c r="AA211" s="26">
        <f ca="1">IF(AA$4=OFFSET(Choices!$B$10,0,$C$1),AVERAGE(X$211/SUM(X$210,X$211),Y$211/SUM(Y$210,Y$211),Z$211/SUM(Z$210,Z$211)),Z$211/SUM(Z$210,Z$211))*((AA$413-AA$410)+(SUM(Z$210,Z$211)-(Z$413-Z$410))*AA$29/Z$29)</f>
        <v>1.9350044520461498</v>
      </c>
      <c r="AB211" s="26">
        <f ca="1">IF(AB$4=OFFSET(Choices!$B$10,0,$C$1),AVERAGE(Y$211/SUM(Y$210,Y$211),Z$211/SUM(Z$210,Z$211),AA$211/SUM(AA$210,AA$211)),AA$211/SUM(AA$210,AA$211))*((AB$413-AB$410)+(SUM(AA$210,AA$211)-(AA$413-AA$410))*AB$29/AA$29)</f>
        <v>1.9705698135680516</v>
      </c>
      <c r="AC211" s="26">
        <f ca="1">IF(AC$4=OFFSET(Choices!$B$10,0,$C$1),AVERAGE(Z$211/SUM(Z$210,Z$211),AA$211/SUM(AA$210,AA$211),AB$211/SUM(AB$210,AB$211)),AB$211/SUM(AB$210,AB$211))*((AC$413-AC$410)+(SUM(AB$210,AB$211)-(AB$413-AB$410))*AC$29/AB$29)</f>
        <v>2.0090681068045324</v>
      </c>
    </row>
    <row r="212" spans="1:29" x14ac:dyDescent="0.2">
      <c r="A212" s="3" t="s">
        <v>415</v>
      </c>
      <c r="B212" s="4" t="str">
        <f>$B$46</f>
        <v>From Fiscal Forecasts</v>
      </c>
      <c r="F212" s="21">
        <f>'Fiscal Forecasts'!F$248</f>
        <v>-1.0000000000012221E-3</v>
      </c>
      <c r="G212" s="21">
        <f>'Fiscal Forecasts'!G$248</f>
        <v>0</v>
      </c>
      <c r="H212" s="21">
        <f>'Fiscal Forecasts'!H$248</f>
        <v>-7.0000000000000284E-2</v>
      </c>
      <c r="I212" s="21">
        <f>'Fiscal Forecasts'!I$248</f>
        <v>-1.0000000000012221E-3</v>
      </c>
      <c r="J212" s="21">
        <f>'Fiscal Forecasts'!J$248</f>
        <v>-1.0000000000012221E-3</v>
      </c>
      <c r="K212" s="21">
        <f>'Fiscal Forecasts'!K$248</f>
        <v>-1.9999999999988916E-3</v>
      </c>
      <c r="L212" s="21">
        <f>'Fiscal Forecasts'!L$248</f>
        <v>0</v>
      </c>
      <c r="M212" s="21">
        <f>'Fiscal Forecasts'!M$248</f>
        <v>0</v>
      </c>
      <c r="N212" s="21">
        <f>'Fiscal Forecasts'!N$248</f>
        <v>0</v>
      </c>
      <c r="O212" s="24">
        <f>'Fiscal Forecasts'!O$248</f>
        <v>0</v>
      </c>
      <c r="P212" s="24">
        <f>'Fiscal Forecasts'!P$248</f>
        <v>0</v>
      </c>
      <c r="Q212" s="24">
        <f>'Fiscal Forecasts'!Q$248</f>
        <v>0</v>
      </c>
      <c r="R212" s="24">
        <f>'Fiscal Forecasts'!R$248</f>
        <v>0</v>
      </c>
      <c r="S212" s="24">
        <f>'Fiscal Forecasts'!S$248</f>
        <v>0</v>
      </c>
      <c r="T212" s="26">
        <f ca="1">IF(T$4=OFFSET(Choices!$B$10,0,$C$1),0,S$212)</f>
        <v>0</v>
      </c>
      <c r="U212" s="26">
        <f ca="1">IF(U$4=OFFSET(Choices!$B$10,0,$C$1),0,T$212)</f>
        <v>0</v>
      </c>
      <c r="V212" s="26">
        <f ca="1">IF(V$4=OFFSET(Choices!$B$10,0,$C$1),0,U$212)</f>
        <v>0</v>
      </c>
      <c r="W212" s="26">
        <f ca="1">IF(W$4=OFFSET(Choices!$B$10,0,$C$1),0,V$212)</f>
        <v>0</v>
      </c>
      <c r="X212" s="26">
        <f ca="1">IF(X$4=OFFSET(Choices!$B$10,0,$C$1),0,W$212)</f>
        <v>0</v>
      </c>
      <c r="Y212" s="26">
        <f ca="1">IF(Y$4=OFFSET(Choices!$B$10,0,$C$1),0,X$212)</f>
        <v>0</v>
      </c>
      <c r="Z212" s="26">
        <f ca="1">IF(Z$4=OFFSET(Choices!$B$10,0,$C$1),0,Y$212)</f>
        <v>0</v>
      </c>
      <c r="AA212" s="26">
        <f ca="1">IF(AA$4=OFFSET(Choices!$B$10,0,$C$1),0,Z$212)</f>
        <v>0</v>
      </c>
      <c r="AB212" s="26">
        <f ca="1">IF(AB$4=OFFSET(Choices!$B$10,0,$C$1),0,AA$212)</f>
        <v>0</v>
      </c>
      <c r="AC212" s="26">
        <f ca="1">IF(AC$4=OFFSET(Choices!$B$10,0,$C$1),0,AB$212)</f>
        <v>0</v>
      </c>
    </row>
    <row r="213" spans="1:29" x14ac:dyDescent="0.2">
      <c r="A213" s="31" t="s">
        <v>485</v>
      </c>
      <c r="F213" s="56">
        <f>SUM(F$209:F$212)</f>
        <v>3.3969999999999976</v>
      </c>
      <c r="G213" s="56">
        <f t="shared" ref="G213:AC213" si="136">SUM(G$209:G$212)</f>
        <v>3.6699999999999964</v>
      </c>
      <c r="H213" s="56">
        <f t="shared" si="136"/>
        <v>4.3050000000000068</v>
      </c>
      <c r="I213" s="56">
        <f t="shared" si="136"/>
        <v>4.2289999999999921</v>
      </c>
      <c r="J213" s="56">
        <f t="shared" si="136"/>
        <v>4.6820000000000057</v>
      </c>
      <c r="K213" s="56">
        <f t="shared" si="136"/>
        <v>6.35</v>
      </c>
      <c r="L213" s="56">
        <f t="shared" si="136"/>
        <v>4.8119999999999994</v>
      </c>
      <c r="M213" s="56">
        <f t="shared" si="136"/>
        <v>4.8719999999999999</v>
      </c>
      <c r="N213" s="56">
        <f t="shared" si="136"/>
        <v>4.8420000000000005</v>
      </c>
      <c r="O213" s="57">
        <f t="shared" si="136"/>
        <v>4.9359999999999999</v>
      </c>
      <c r="P213" s="57">
        <f t="shared" si="136"/>
        <v>5.1129999999999995</v>
      </c>
      <c r="Q213" s="57">
        <f t="shared" si="136"/>
        <v>5.3069999999999995</v>
      </c>
      <c r="R213" s="57">
        <f t="shared" si="136"/>
        <v>5.4429999999999996</v>
      </c>
      <c r="S213" s="57">
        <f t="shared" si="136"/>
        <v>5.51</v>
      </c>
      <c r="T213" s="58">
        <f t="shared" ca="1" si="136"/>
        <v>5.5832503802847384</v>
      </c>
      <c r="U213" s="58">
        <f t="shared" ca="1" si="136"/>
        <v>5.6648972819436425</v>
      </c>
      <c r="V213" s="58">
        <f t="shared" ca="1" si="136"/>
        <v>5.7522688221333365</v>
      </c>
      <c r="W213" s="58">
        <f t="shared" ca="1" si="136"/>
        <v>5.8500400997945476</v>
      </c>
      <c r="X213" s="58">
        <f t="shared" ca="1" si="136"/>
        <v>5.9534553650629984</v>
      </c>
      <c r="Y213" s="58">
        <f t="shared" ca="1" si="136"/>
        <v>6.064178900382184</v>
      </c>
      <c r="Z213" s="58">
        <f t="shared" ca="1" si="136"/>
        <v>6.1821935159017762</v>
      </c>
      <c r="AA213" s="58">
        <f t="shared" ca="1" si="136"/>
        <v>6.3074718121138913</v>
      </c>
      <c r="AB213" s="58">
        <f t="shared" ca="1" si="136"/>
        <v>6.4400435002267002</v>
      </c>
      <c r="AC213" s="58">
        <f t="shared" ca="1" si="136"/>
        <v>6.5799155795299287</v>
      </c>
    </row>
    <row r="214" spans="1:29" x14ac:dyDescent="0.2">
      <c r="G214" s="26"/>
      <c r="H214" s="26"/>
      <c r="I214" s="26"/>
      <c r="J214" s="26"/>
      <c r="K214" s="26"/>
      <c r="L214" s="26"/>
      <c r="M214" s="26"/>
      <c r="N214" s="26"/>
      <c r="O214" s="26"/>
      <c r="P214" s="26"/>
      <c r="Q214" s="26"/>
      <c r="R214" s="26"/>
    </row>
    <row r="215" spans="1:29" x14ac:dyDescent="0.2">
      <c r="A215" s="31" t="s">
        <v>232</v>
      </c>
    </row>
    <row r="216" spans="1:29" x14ac:dyDescent="0.2">
      <c r="A216" s="3" t="s">
        <v>412</v>
      </c>
      <c r="B216" s="4" t="str">
        <f>$B$46</f>
        <v>From Fiscal Forecasts</v>
      </c>
      <c r="F216" s="21">
        <f>'Fiscal Forecasts'!F$251</f>
        <v>28.951000000000001</v>
      </c>
      <c r="G216" s="21">
        <f>'Fiscal Forecasts'!G$251</f>
        <v>29.219000000000001</v>
      </c>
      <c r="H216" s="21">
        <f>'Fiscal Forecasts'!H$251</f>
        <v>33.646999999999998</v>
      </c>
      <c r="I216" s="21">
        <f>'Fiscal Forecasts'!I$251</f>
        <v>32.822000000000003</v>
      </c>
      <c r="J216" s="21">
        <f>'Fiscal Forecasts'!J$251</f>
        <v>37.454000000000001</v>
      </c>
      <c r="K216" s="21">
        <f>'Fiscal Forecasts'!K$251</f>
        <v>35.875999999999998</v>
      </c>
      <c r="L216" s="21">
        <f>'Fiscal Forecasts'!L$251</f>
        <v>36.564999999999998</v>
      </c>
      <c r="M216" s="21">
        <f>'Fiscal Forecasts'!M$251</f>
        <v>36.485999999999997</v>
      </c>
      <c r="N216" s="21">
        <f>'Fiscal Forecasts'!N$251</f>
        <v>36.857999999999997</v>
      </c>
      <c r="O216" s="24">
        <f>'Fiscal Forecasts'!O$251</f>
        <v>39.232999999999997</v>
      </c>
      <c r="P216" s="24">
        <f>'Fiscal Forecasts'!P$251</f>
        <v>38.627000000000002</v>
      </c>
      <c r="Q216" s="24">
        <f>'Fiscal Forecasts'!Q$251</f>
        <v>38.728000000000002</v>
      </c>
      <c r="R216" s="24">
        <f>'Fiscal Forecasts'!R$251</f>
        <v>38.631999999999998</v>
      </c>
      <c r="S216" s="24">
        <f>'Fiscal Forecasts'!S$251</f>
        <v>38.691000000000003</v>
      </c>
      <c r="T216" s="26">
        <f ca="1">IF(T$4=OFFSET(Choices!$B$10,0,$C$1),AVERAGE((SUM(Q$209,Q$216)-SUM(Q$249,-Q$390,-Q$393,Q$257,Q$267,Q$279,Q$305,Q$310))/(SUM(Q$202,Q$209,Q$216)-SUM(Q$245,Q$249,-Q$390,-Q$393,Q$257,Q$267,Q$279,Q$305,Q$310)),(SUM(R$209,R$216)-SUM(R$249,-R$390,-R$393,R$257,R$267,R$279,R$305,R$310))/(SUM(R$202,R$209,R$216)-SUM(R$245,R$249,-R$390,-R$393,R$257,R$267,R$279,R$305,R$310)),(SUM(S$209,S$216)-SUM(S$249,-S$390,-S$393,S$257,S$267,S$279,S$305,S$310))/(SUM(S$202,S$209,S$216)-SUM(S$245,S$249,-S$390,-S$393,S$257,S$267,S$279,S$305,S$310))),(SUM(S$209,S$216)-SUM(S$249,-S$390,-S$393,S$257,S$267,S$279,S$305,S$310))/(SUM(S$202,S$209,S$216)-SUM(S$245,S$249,-S$390,-S$393,S$257,S$267,S$279,S$305,S$310)))*SUM(T$190,T$364,T$268,T$272,T$275,T$287-T$232,T$295,T$298,T$301,T$306)+SUM(T$249,-T$390,-T$393,T$257,T$267,T$279,T$305,T$310)-SUM(T$209,T$232)</f>
        <v>38.386514739237903</v>
      </c>
      <c r="U216" s="26">
        <f ca="1">IF(U$4=OFFSET(Choices!$B$10,0,$C$1),AVERAGE((SUM(R$209,R$216)-SUM(R$249,-R$390,-R$393,R$257,R$267,R$279,R$305,R$310))/(SUM(R$202,R$209,R$216)-SUM(R$245,R$249,-R$390,-R$393,R$257,R$267,R$279,R$305,R$310)),(SUM(S$209,S$216)-SUM(S$249,-S$390,-S$393,S$257,S$267,S$279,S$305,S$310))/(SUM(S$202,S$209,S$216)-SUM(S$245,S$249,-S$390,-S$393,S$257,S$267,S$279,S$305,S$310)),(SUM(T$209,T$216)-SUM(T$249,-T$390,-T$393,T$257,T$267,T$279,T$305,T$310))/(SUM(T$202,T$209,T$216)-SUM(T$245,T$249,-T$390,-T$393,T$257,T$267,T$279,T$305,T$310))),(SUM(T$209,T$216)-SUM(T$249,-T$390,-T$393,T$257,T$267,T$279,T$305,T$310))/(SUM(T$202,T$209,T$216)-SUM(T$245,T$249,-T$390,-T$393,T$257,T$267,T$279,T$305,T$310)))*SUM(U$190,U$364,U$268,U$272,U$275,U$287-U$232,U$295,U$298,U$301,U$306)+SUM(U$249,-U$390,-U$393,U$257,U$267,U$279,U$305,U$310)-SUM(U$209,U$232)</f>
        <v>38.544611682403698</v>
      </c>
      <c r="V216" s="26">
        <f ca="1">IF(V$4=OFFSET(Choices!$B$10,0,$C$1),AVERAGE((SUM(S$209,S$216)-SUM(S$249,-S$390,-S$393,S$257,S$267,S$279,S$305,S$310))/(SUM(S$202,S$209,S$216)-SUM(S$245,S$249,-S$390,-S$393,S$257,S$267,S$279,S$305,S$310)),(SUM(T$209,T$216)-SUM(T$249,-T$390,-T$393,T$257,T$267,T$279,T$305,T$310))/(SUM(T$202,T$209,T$216)-SUM(T$245,T$249,-T$390,-T$393,T$257,T$267,T$279,T$305,T$310)),(SUM(U$209,U$216)-SUM(U$249,-U$390,-U$393,U$257,U$267,U$279,U$305,U$310))/(SUM(U$202,U$209,U$216)-SUM(U$245,U$249,-U$390,-U$393,U$257,U$267,U$279,U$305,U$310))),(SUM(U$209,U$216)-SUM(U$249,-U$390,-U$393,U$257,U$267,U$279,U$305,U$310))/(SUM(U$202,U$209,U$216)-SUM(U$245,U$249,-U$390,-U$393,U$257,U$267,U$279,U$305,U$310)))*SUM(V$190,V$364,V$268,V$272,V$275,V$287-V$232,V$295,V$298,V$301,V$306)+SUM(V$249,-V$390,-V$393,V$257,V$267,V$279,V$305,V$310)-SUM(V$209,V$232)</f>
        <v>38.720274040629171</v>
      </c>
      <c r="W216" s="26">
        <f ca="1">IF(W$4=OFFSET(Choices!$B$10,0,$C$1),AVERAGE((SUM(T$209,T$216)-SUM(T$249,-T$390,-T$393,T$257,T$267,T$279,T$305,T$310))/(SUM(T$202,T$209,T$216)-SUM(T$245,T$249,-T$390,-T$393,T$257,T$267,T$279,T$305,T$310)),(SUM(U$209,U$216)-SUM(U$249,-U$390,-U$393,U$257,U$267,U$279,U$305,U$310))/(SUM(U$202,U$209,U$216)-SUM(U$245,U$249,-U$390,-U$393,U$257,U$267,U$279,U$305,U$310)),(SUM(V$209,V$216)-SUM(V$249,-V$390,-V$393,V$257,V$267,V$279,V$305,V$310))/(SUM(V$202,V$209,V$216)-SUM(V$245,V$249,-V$390,-V$393,V$257,V$267,V$279,V$305,V$310))),(SUM(V$209,V$216)-SUM(V$249,-V$390,-V$393,V$257,V$267,V$279,V$305,V$310))/(SUM(V$202,V$209,V$216)-SUM(V$245,V$249,-V$390,-V$393,V$257,V$267,V$279,V$305,V$310)))*SUM(W$190,W$364,W$268,W$272,W$275,W$287-W$232,W$295,W$298,W$301,W$306)+SUM(W$249,-W$390,-W$393,W$257,W$267,W$279,W$305,W$310)-SUM(W$209,W$232)</f>
        <v>38.901223874608085</v>
      </c>
      <c r="X216" s="26">
        <f ca="1">IF(X$4=OFFSET(Choices!$B$10,0,$C$1),AVERAGE((SUM(U$209,U$216)-SUM(U$249,-U$390,-U$393,U$257,U$267,U$279,U$305,U$310))/(SUM(U$202,U$209,U$216)-SUM(U$245,U$249,-U$390,-U$393,U$257,U$267,U$279,U$305,U$310)),(SUM(V$209,V$216)-SUM(V$249,-V$390,-V$393,V$257,V$267,V$279,V$305,V$310))/(SUM(V$202,V$209,V$216)-SUM(V$245,V$249,-V$390,-V$393,V$257,V$267,V$279,V$305,V$310)),(SUM(W$209,W$216)-SUM(W$249,-W$390,-W$393,W$257,W$267,W$279,W$305,W$310))/(SUM(W$202,W$209,W$216)-SUM(W$245,W$249,-W$390,-W$393,W$257,W$267,W$279,W$305,W$310))),(SUM(W$209,W$216)-SUM(W$249,-W$390,-W$393,W$257,W$267,W$279,W$305,W$310))/(SUM(W$202,W$209,W$216)-SUM(W$245,W$249,-W$390,-W$393,W$257,W$267,W$279,W$305,W$310)))*SUM(X$190,X$364,X$268,X$272,X$275,X$287-X$232,X$295,X$298,X$301,X$306)+SUM(X$249,-X$390,-X$393,X$257,X$267,X$279,X$305,X$310)-SUM(X$209,X$232)</f>
        <v>39.098259217630705</v>
      </c>
      <c r="Y216" s="26">
        <f ca="1">IF(Y$4=OFFSET(Choices!$B$10,0,$C$1),AVERAGE((SUM(V$209,V$216)-SUM(V$249,-V$390,-V$393,V$257,V$267,V$279,V$305,V$310))/(SUM(V$202,V$209,V$216)-SUM(V$245,V$249,-V$390,-V$393,V$257,V$267,V$279,V$305,V$310)),(SUM(W$209,W$216)-SUM(W$249,-W$390,-W$393,W$257,W$267,W$279,W$305,W$310))/(SUM(W$202,W$209,W$216)-SUM(W$245,W$249,-W$390,-W$393,W$257,W$267,W$279,W$305,W$310)),(SUM(X$209,X$216)-SUM(X$249,-X$390,-X$393,X$257,X$267,X$279,X$305,X$310))/(SUM(X$202,X$209,X$216)-SUM(X$245,X$249,-X$390,-X$393,X$257,X$267,X$279,X$305,X$310))),(SUM(X$209,X$216)-SUM(X$249,-X$390,-X$393,X$257,X$267,X$279,X$305,X$310))/(SUM(X$202,X$209,X$216)-SUM(X$245,X$249,-X$390,-X$393,X$257,X$267,X$279,X$305,X$310)))*SUM(Y$190,Y$364,Y$268,Y$272,Y$275,Y$287-Y$232,Y$295,Y$298,Y$301,Y$306)+SUM(Y$249,-Y$390,-Y$393,Y$257,Y$267,Y$279,Y$305,Y$310)-SUM(Y$209,Y$232)</f>
        <v>39.297968744411278</v>
      </c>
      <c r="Z216" s="26">
        <f ca="1">IF(Z$4=OFFSET(Choices!$B$10,0,$C$1),AVERAGE((SUM(W$209,W$216)-SUM(W$249,-W$390,-W$393,W$257,W$267,W$279,W$305,W$310))/(SUM(W$202,W$209,W$216)-SUM(W$245,W$249,-W$390,-W$393,W$257,W$267,W$279,W$305,W$310)),(SUM(X$209,X$216)-SUM(X$249,-X$390,-X$393,X$257,X$267,X$279,X$305,X$310))/(SUM(X$202,X$209,X$216)-SUM(X$245,X$249,-X$390,-X$393,X$257,X$267,X$279,X$305,X$310)),(SUM(Y$209,Y$216)-SUM(Y$249,-Y$390,-Y$393,Y$257,Y$267,Y$279,Y$305,Y$310))/(SUM(Y$202,Y$209,Y$216)-SUM(Y$245,Y$249,-Y$390,-Y$393,Y$257,Y$267,Y$279,Y$305,Y$310))),(SUM(Y$209,Y$216)-SUM(Y$249,-Y$390,-Y$393,Y$257,Y$267,Y$279,Y$305,Y$310))/(SUM(Y$202,Y$209,Y$216)-SUM(Y$245,Y$249,-Y$390,-Y$393,Y$257,Y$267,Y$279,Y$305,Y$310)))*SUM(Z$190,Z$364,Z$268,Z$272,Z$275,Z$287-Z$232,Z$295,Z$298,Z$301,Z$306)+SUM(Z$249,-Z$390,-Z$393,Z$257,Z$267,Z$279,Z$305,Z$310)-SUM(Z$209,Z$232)</f>
        <v>39.507093672098932</v>
      </c>
      <c r="AA216" s="26">
        <f ca="1">IF(AA$4=OFFSET(Choices!$B$10,0,$C$1),AVERAGE((SUM(X$209,X$216)-SUM(X$249,-X$390,-X$393,X$257,X$267,X$279,X$305,X$310))/(SUM(X$202,X$209,X$216)-SUM(X$245,X$249,-X$390,-X$393,X$257,X$267,X$279,X$305,X$310)),(SUM(Y$209,Y$216)-SUM(Y$249,-Y$390,-Y$393,Y$257,Y$267,Y$279,Y$305,Y$310))/(SUM(Y$202,Y$209,Y$216)-SUM(Y$245,Y$249,-Y$390,-Y$393,Y$257,Y$267,Y$279,Y$305,Y$310)),(SUM(Z$209,Z$216)-SUM(Z$249,-Z$390,-Z$393,Z$257,Z$267,Z$279,Z$305,Z$310))/(SUM(Z$202,Z$209,Z$216)-SUM(Z$245,Z$249,-Z$390,-Z$393,Z$257,Z$267,Z$279,Z$305,Z$310))),(SUM(Z$209,Z$216)-SUM(Z$249,-Z$390,-Z$393,Z$257,Z$267,Z$279,Z$305,Z$310))/(SUM(Z$202,Z$209,Z$216)-SUM(Z$245,Z$249,-Z$390,-Z$393,Z$257,Z$267,Z$279,Z$305,Z$310)))*SUM(AA$190,AA$364,AA$268,AA$272,AA$275,AA$287-AA$232,AA$295,AA$298,AA$301,AA$306)+SUM(AA$249,-AA$390,-AA$393,AA$257,AA$267,AA$279,AA$305,AA$310)-SUM(AA$209,AA$232)</f>
        <v>39.721755890006385</v>
      </c>
      <c r="AB216" s="26">
        <f ca="1">IF(AB$4=OFFSET(Choices!$B$10,0,$C$1),AVERAGE((SUM(Y$209,Y$216)-SUM(Y$249,-Y$390,-Y$393,Y$257,Y$267,Y$279,Y$305,Y$310))/(SUM(Y$202,Y$209,Y$216)-SUM(Y$245,Y$249,-Y$390,-Y$393,Y$257,Y$267,Y$279,Y$305,Y$310)),(SUM(Z$209,Z$216)-SUM(Z$249,-Z$390,-Z$393,Z$257,Z$267,Z$279,Z$305,Z$310))/(SUM(Z$202,Z$209,Z$216)-SUM(Z$245,Z$249,-Z$390,-Z$393,Z$257,Z$267,Z$279,Z$305,Z$310)),(SUM(AA$209,AA$216)-SUM(AA$249,-AA$390,-AA$393,AA$257,AA$267,AA$279,AA$305,AA$310))/(SUM(AA$202,AA$209,AA$216)-SUM(AA$245,AA$249,-AA$390,-AA$393,AA$257,AA$267,AA$279,AA$305,AA$310))),(SUM(AA$209,AA$216)-SUM(AA$249,-AA$390,-AA$393,AA$257,AA$267,AA$279,AA$305,AA$310))/(SUM(AA$202,AA$209,AA$216)-SUM(AA$245,AA$249,-AA$390,-AA$393,AA$257,AA$267,AA$279,AA$305,AA$310)))*SUM(AB$190,AB$364,AB$268,AB$272,AB$275,AB$287-AB$232,AB$295,AB$298,AB$301,AB$306)+SUM(AB$249,-AB$390,-AB$393,AB$257,AB$267,AB$279,AB$305,AB$310)-SUM(AB$209,AB$232)</f>
        <v>39.93807662687118</v>
      </c>
      <c r="AC216" s="26">
        <f ca="1">IF(AC$4=OFFSET(Choices!$B$10,0,$C$1),AVERAGE((SUM(Z$209,Z$216)-SUM(Z$249,-Z$390,-Z$393,Z$257,Z$267,Z$279,Z$305,Z$310))/(SUM(Z$202,Z$209,Z$216)-SUM(Z$245,Z$249,-Z$390,-Z$393,Z$257,Z$267,Z$279,Z$305,Z$310)),(SUM(AA$209,AA$216)-SUM(AA$249,-AA$390,-AA$393,AA$257,AA$267,AA$279,AA$305,AA$310))/(SUM(AA$202,AA$209,AA$216)-SUM(AA$245,AA$249,-AA$390,-AA$393,AA$257,AA$267,AA$279,AA$305,AA$310)),(SUM(AB$209,AB$216)-SUM(AB$249,-AB$390,-AB$393,AB$257,AB$267,AB$279,AB$305,AB$310))/(SUM(AB$202,AB$209,AB$216)-SUM(AB$245,AB$249,-AB$390,-AB$393,AB$257,AB$267,AB$279,AB$305,AB$310))),(SUM(AB$209,AB$216)-SUM(AB$249,-AB$390,-AB$393,AB$257,AB$267,AB$279,AB$305,AB$310))/(SUM(AB$202,AB$209,AB$216)-SUM(AB$245,AB$249,-AB$390,-AB$393,AB$257,AB$267,AB$279,AB$305,AB$310)))*SUM(AC$190,AC$364,AC$268,AC$272,AC$275,AC$287-AC$232,AC$295,AC$298,AC$301,AC$306)+SUM(AC$249,-AC$390,-AC$393,AC$257,AC$267,AC$279,AC$305,AC$310)-SUM(AC$209,AC$232)</f>
        <v>40.1612865640287</v>
      </c>
    </row>
    <row r="217" spans="1:29" x14ac:dyDescent="0.2">
      <c r="A217" s="3" t="s">
        <v>413</v>
      </c>
      <c r="B217" s="4" t="str">
        <f>$B$46</f>
        <v>From Fiscal Forecasts</v>
      </c>
      <c r="F217" s="21">
        <f>'Fiscal Forecasts'!F$252</f>
        <v>12.452</v>
      </c>
      <c r="G217" s="21">
        <f>'Fiscal Forecasts'!G$252</f>
        <v>14.391</v>
      </c>
      <c r="H217" s="21">
        <f>'Fiscal Forecasts'!H$252</f>
        <v>15.859</v>
      </c>
      <c r="I217" s="21">
        <f>'Fiscal Forecasts'!I$252</f>
        <v>16.853999999999999</v>
      </c>
      <c r="J217" s="21">
        <f>'Fiscal Forecasts'!J$252</f>
        <v>16.367999999999999</v>
      </c>
      <c r="K217" s="21">
        <f>'Fiscal Forecasts'!K$252</f>
        <v>16.321000000000002</v>
      </c>
      <c r="L217" s="21">
        <f>'Fiscal Forecasts'!L$252</f>
        <v>17.065000000000001</v>
      </c>
      <c r="M217" s="21">
        <f>'Fiscal Forecasts'!M$252</f>
        <v>17.262</v>
      </c>
      <c r="N217" s="21">
        <f>'Fiscal Forecasts'!N$252</f>
        <v>17.914000000000001</v>
      </c>
      <c r="O217" s="24">
        <f>'Fiscal Forecasts'!O$252</f>
        <v>18.495000000000001</v>
      </c>
      <c r="P217" s="24">
        <f>'Fiscal Forecasts'!P$252</f>
        <v>18.398</v>
      </c>
      <c r="Q217" s="24">
        <f>'Fiscal Forecasts'!Q$252</f>
        <v>18.239999999999998</v>
      </c>
      <c r="R217" s="24">
        <f>'Fiscal Forecasts'!R$252</f>
        <v>18.114999999999998</v>
      </c>
      <c r="S217" s="24">
        <f>'Fiscal Forecasts'!S$252</f>
        <v>17.966000000000001</v>
      </c>
      <c r="T217" s="26">
        <f ca="1">IF(T$4=OFFSET(Choices!$B$10,0,$C$1),AVERAGE(SUM(Q$210,Q$217)/SUM(Q$203-(Q$246-Q$245),Q$210,Q$217),SUM(R$210,R$217)/SUM(R$203-(R$246-R$245),R$210,R$217),SUM(S$210,S$217)/SUM(S$203-(S$246-S$245),S$210,S$217)),SUM(S$210,S$217)/SUM(S$203-(S$246-S$245),S$210,S$217))*SUM(T$192-T$233,T$250,T$259,T$280,T$291-(T$246-T$245))-T$210</f>
        <v>18.529424946304125</v>
      </c>
      <c r="U217" s="26">
        <f ca="1">IF(U$4=OFFSET(Choices!$B$10,0,$C$1),AVERAGE(SUM(R$210,R$217)/SUM(R$203-(R$246-R$245),R$210,R$217),SUM(S$210,S$217)/SUM(S$203-(S$246-S$245),S$210,S$217),SUM(T$210,T$217)/SUM(T$203-(T$246-T$245),T$210,T$217)),SUM(T$210,T$217)/SUM(T$203-(T$246-T$245),T$210,T$217))*SUM(U$192-U$233,U$250,U$259,U$280,U$291-(U$246-U$245))-U$210</f>
        <v>18.795781000997792</v>
      </c>
      <c r="V217" s="26">
        <f ca="1">IF(V$4=OFFSET(Choices!$B$10,0,$C$1),AVERAGE(SUM(S$210,S$217)/SUM(S$203-(S$246-S$245),S$210,S$217),SUM(T$210,T$217)/SUM(T$203-(T$246-T$245),T$210,T$217),SUM(U$210,U$217)/SUM(U$203-(U$246-U$245),U$210,U$217)),SUM(U$210,U$217)/SUM(U$203-(U$246-U$245),U$210,U$217))*SUM(V$192-V$233,V$250,V$259,V$280,V$291-(V$246-V$245))-V$210</f>
        <v>19.0747544924136</v>
      </c>
      <c r="W217" s="26">
        <f ca="1">IF(W$4=OFFSET(Choices!$B$10,0,$C$1),AVERAGE(SUM(T$210,T$217)/SUM(T$203-(T$246-T$245),T$210,T$217),SUM(U$210,U$217)/SUM(U$203-(U$246-U$245),U$210,U$217),SUM(V$210,V$217)/SUM(V$203-(V$246-V$245),V$210,V$217)),SUM(V$210,V$217)/SUM(V$203-(V$246-V$245),V$210,V$217))*SUM(W$192-W$233,W$250,W$259,W$280,W$291-(W$246-W$245))-W$210</f>
        <v>19.364474679600651</v>
      </c>
      <c r="X217" s="26">
        <f ca="1">IF(X$4=OFFSET(Choices!$B$10,0,$C$1),AVERAGE(SUM(U$210,U$217)/SUM(U$203-(U$246-U$245),U$210,U$217),SUM(V$210,V$217)/SUM(V$203-(V$246-V$245),V$210,V$217),SUM(W$210,W$217)/SUM(W$203-(W$246-W$245),W$210,W$217)),SUM(W$210,W$217)/SUM(W$203-(W$246-W$245),W$210,W$217))*SUM(X$192-X$233,X$250,X$259,X$280,X$291-(X$246-X$245))-X$210</f>
        <v>19.663648695493844</v>
      </c>
      <c r="Y217" s="26">
        <f ca="1">IF(Y$4=OFFSET(Choices!$B$10,0,$C$1),AVERAGE(SUM(V$210,V$217)/SUM(V$203-(V$246-V$245),V$210,V$217),SUM(W$210,W$217)/SUM(W$203-(W$246-W$245),W$210,W$217),SUM(X$210,X$217)/SUM(X$203-(X$246-X$245),X$210,X$217)),SUM(X$210,X$217)/SUM(X$203-(X$246-X$245),X$210,X$217))*SUM(Y$192-Y$233,Y$250,Y$259,Y$280,Y$291-(Y$246-Y$245))-Y$210</f>
        <v>19.969377911922429</v>
      </c>
      <c r="Z217" s="26">
        <f ca="1">IF(Z$4=OFFSET(Choices!$B$10,0,$C$1),AVERAGE(SUM(W$210,W$217)/SUM(W$203-(W$246-W$245),W$210,W$217),SUM(X$210,X$217)/SUM(X$203-(X$246-X$245),X$210,X$217),SUM(Y$210,Y$217)/SUM(Y$203-(Y$246-Y$245),Y$210,Y$217)),SUM(Y$210,Y$217)/SUM(Y$203-(Y$246-Y$245),Y$210,Y$217))*SUM(Z$192-Z$233,Z$250,Z$259,Z$280,Z$291-(Z$246-Z$245))-Z$210</f>
        <v>20.28066382105095</v>
      </c>
      <c r="AA217" s="26">
        <f ca="1">IF(AA$4=OFFSET(Choices!$B$10,0,$C$1),AVERAGE(SUM(X$210,X$217)/SUM(X$203-(X$246-X$245),X$210,X$217),SUM(Y$210,Y$217)/SUM(Y$203-(Y$246-Y$245),Y$210,Y$217),SUM(Z$210,Z$217)/SUM(Z$203-(Z$246-Z$245),Z$210,Z$217)),SUM(Z$210,Z$217)/SUM(Z$203-(Z$246-Z$245),Z$210,Z$217))*SUM(AA$192-AA$233,AA$250,AA$259,AA$280,AA$291-(AA$246-AA$245))-AA$210</f>
        <v>20.598097687450174</v>
      </c>
      <c r="AB217" s="26">
        <f ca="1">IF(AB$4=OFFSET(Choices!$B$10,0,$C$1),AVERAGE(SUM(Y$210,Y$217)/SUM(Y$203-(Y$246-Y$245),Y$210,Y$217),SUM(Z$210,Z$217)/SUM(Z$203-(Z$246-Z$245),Z$210,Z$217),SUM(AA$210,AA$217)/SUM(AA$203-(AA$246-AA$245),AA$210,AA$217)),SUM(AA$210,AA$217)/SUM(AA$203-(AA$246-AA$245),AA$210,AA$217))*SUM(AB$192-AB$233,AB$250,AB$259,AB$280,AB$291-(AB$246-AB$245))-AB$210</f>
        <v>20.918174947482441</v>
      </c>
      <c r="AC217" s="26">
        <f ca="1">IF(AC$4=OFFSET(Choices!$B$10,0,$C$1),AVERAGE(SUM(Z$210,Z$217)/SUM(Z$203-(Z$246-Z$245),Z$210,Z$217),SUM(AA$210,AA$217)/SUM(AA$203-(AA$246-AA$245),AA$210,AA$217),SUM(AB$210,AB$217)/SUM(AB$203-(AB$246-AB$245),AB$210,AB$217)),SUM(AB$210,AB$217)/SUM(AB$203-(AB$246-AB$245),AB$210,AB$217))*SUM(AC$192-AC$233,AC$250,AC$259,AC$280,AC$291-(AC$246-AC$245))-AC$210</f>
        <v>21.244683134402212</v>
      </c>
    </row>
    <row r="218" spans="1:29" x14ac:dyDescent="0.2">
      <c r="A218" s="3" t="s">
        <v>414</v>
      </c>
      <c r="B218" s="4" t="str">
        <f>$B$46</f>
        <v>From Fiscal Forecasts</v>
      </c>
      <c r="F218" s="21">
        <f>'Fiscal Forecasts'!F$253</f>
        <v>7.3630000000000004</v>
      </c>
      <c r="G218" s="21">
        <f>'Fiscal Forecasts'!G$253</f>
        <v>9.8529999999999998</v>
      </c>
      <c r="H218" s="21">
        <f>'Fiscal Forecasts'!H$253</f>
        <v>8.9139999999999997</v>
      </c>
      <c r="I218" s="21">
        <f>'Fiscal Forecasts'!I$253</f>
        <v>8.2059999999999995</v>
      </c>
      <c r="J218" s="21">
        <f>'Fiscal Forecasts'!J$253</f>
        <v>8.125</v>
      </c>
      <c r="K218" s="21">
        <f>'Fiscal Forecasts'!K$253</f>
        <v>9.8019999999999996</v>
      </c>
      <c r="L218" s="21">
        <f>'Fiscal Forecasts'!L$253</f>
        <v>9.6890000000000001</v>
      </c>
      <c r="M218" s="21">
        <f>'Fiscal Forecasts'!M$253</f>
        <v>9.0419999999999998</v>
      </c>
      <c r="N218" s="21">
        <f>'Fiscal Forecasts'!N$253</f>
        <v>9.3330000000000002</v>
      </c>
      <c r="O218" s="24">
        <f>'Fiscal Forecasts'!O$253</f>
        <v>9.1180000000000003</v>
      </c>
      <c r="P218" s="24">
        <f>'Fiscal Forecasts'!P$253</f>
        <v>9.6069999999999993</v>
      </c>
      <c r="Q218" s="24">
        <f>'Fiscal Forecasts'!Q$253</f>
        <v>10.057</v>
      </c>
      <c r="R218" s="24">
        <f>'Fiscal Forecasts'!R$253</f>
        <v>10.164</v>
      </c>
      <c r="S218" s="24">
        <f>'Fiscal Forecasts'!S$253</f>
        <v>10.355</v>
      </c>
      <c r="T218" s="26">
        <f ca="1">IF(T$4=OFFSET(Choices!$B$10,0,$C$1),AVERAGE(SUM(Q$211,Q$218)/SUM(Q$204,Q$211,Q$218),SUM(R$211,R$218)/SUM(R$204,R$211,R$218),SUM(S$211,S$218)/SUM(S$204,S$211,S$218)),SUM(S$211,S$218)/SUM(S$204,S$211,S$218))*SUM(T$260,T$281,T$292-T$234)-T$211</f>
        <v>11.134570813289303</v>
      </c>
      <c r="U218" s="26">
        <f ca="1">IF(U$4=OFFSET(Choices!$B$10,0,$C$1),AVERAGE(SUM(R$211,R$218)/SUM(R$204,R$211,R$218),SUM(S$211,S$218)/SUM(S$204,S$211,S$218),SUM(T$211,T$218)/SUM(T$204,T$211,T$218)),SUM(T$211,T$218)/SUM(T$204,T$211,T$218))*SUM(U$260,U$281,U$292-U$234)-U$211</f>
        <v>11.691052886489233</v>
      </c>
      <c r="V218" s="26">
        <f ca="1">IF(V$4=OFFSET(Choices!$B$10,0,$C$1),AVERAGE(SUM(S$211,S$218)/SUM(S$204,S$211,S$218),SUM(T$211,T$218)/SUM(T$204,T$211,T$218),SUM(U$211,U$218)/SUM(U$204,U$211,U$218)),SUM(U$211,U$218)/SUM(U$204,U$211,U$218))*SUM(V$260,V$281,V$292-V$234)-V$211</f>
        <v>12.277699827124792</v>
      </c>
      <c r="W218" s="26">
        <f ca="1">IF(W$4=OFFSET(Choices!$B$10,0,$C$1),AVERAGE(SUM(T$211,T$218)/SUM(T$204,T$211,T$218),SUM(U$211,U$218)/SUM(U$204,U$211,U$218),SUM(V$211,V$218)/SUM(V$204,V$211,V$218)),SUM(V$211,V$218)/SUM(V$204,V$211,V$218))*SUM(W$260,W$281,W$292-W$234)-W$211</f>
        <v>12.883980238149286</v>
      </c>
      <c r="X218" s="26">
        <f ca="1">IF(X$4=OFFSET(Choices!$B$10,0,$C$1),AVERAGE(SUM(U$211,U$218)/SUM(U$204,U$211,U$218),SUM(V$211,V$218)/SUM(V$204,V$211,V$218),SUM(W$211,W$218)/SUM(W$204,W$211,W$218)),SUM(W$211,W$218)/SUM(W$204,W$211,W$218))*SUM(X$260,X$281,X$292-X$234)-X$211</f>
        <v>13.513319428229666</v>
      </c>
      <c r="Y218" s="26">
        <f ca="1">IF(Y$4=OFFSET(Choices!$B$10,0,$C$1),AVERAGE(SUM(V$211,V$218)/SUM(V$204,V$211,V$218),SUM(W$211,W$218)/SUM(W$204,W$211,W$218),SUM(X$211,X$218)/SUM(X$204,X$211,X$218)),SUM(X$211,X$218)/SUM(X$204,X$211,X$218))*SUM(Y$260,Y$281,Y$292-Y$234)-Y$211</f>
        <v>14.160872333977055</v>
      </c>
      <c r="Z218" s="26">
        <f ca="1">IF(Z$4=OFFSET(Choices!$B$10,0,$C$1),AVERAGE(SUM(W$211,W$218)/SUM(W$204,W$211,W$218),SUM(X$211,X$218)/SUM(X$204,X$211,X$218),SUM(Y$211,Y$218)/SUM(Y$204,Y$211,Y$218)),SUM(Y$211,Y$218)/SUM(Y$204,Y$211,Y$218))*SUM(Z$260,Z$281,Z$292-Z$234)-Z$211</f>
        <v>14.825271347554509</v>
      </c>
      <c r="AA218" s="26">
        <f ca="1">IF(AA$4=OFFSET(Choices!$B$10,0,$C$1),AVERAGE(SUM(X$211,X$218)/SUM(X$204,X$211,X$218),SUM(Y$211,Y$218)/SUM(Y$204,Y$211,Y$218),SUM(Z$211,Z$218)/SUM(Z$204,Z$211,Z$218)),SUM(Z$211,Z$218)/SUM(Z$204,Z$211,Z$218))*SUM(AA$260,AA$281,AA$292-AA$234)-AA$211</f>
        <v>15.506978602644319</v>
      </c>
      <c r="AB218" s="26">
        <f ca="1">IF(AB$4=OFFSET(Choices!$B$10,0,$C$1),AVERAGE(SUM(Y$211,Y$218)/SUM(Y$204,Y$211,Y$218),SUM(Z$211,Z$218)/SUM(Z$204,Z$211,Z$218),SUM(AA$211,AA$218)/SUM(AA$204,AA$211,AA$218)),SUM(AA$211,AA$218)/SUM(AA$204,AA$211,AA$218))*SUM(AB$260,AB$281,AB$292-AB$234)-AB$211</f>
        <v>16.203222931937461</v>
      </c>
      <c r="AC218" s="26">
        <f ca="1">IF(AC$4=OFFSET(Choices!$B$10,0,$C$1),AVERAGE(SUM(Z$211,Z$218)/SUM(Z$204,Z$211,Z$218),SUM(AA$211,AA$218)/SUM(AA$204,AA$211,AA$218),SUM(AB$211,AB$218)/SUM(AB$204,AB$211,AB$218)),SUM(AB$211,AB$218)/SUM(AB$204,AB$211,AB$218))*SUM(AC$260,AC$281,AC$292-AC$234)-AC$211</f>
        <v>16.91782423949207</v>
      </c>
    </row>
    <row r="219" spans="1:29" x14ac:dyDescent="0.2">
      <c r="A219" s="3" t="s">
        <v>415</v>
      </c>
      <c r="B219" s="4" t="str">
        <f>$B$46</f>
        <v>From Fiscal Forecasts</v>
      </c>
      <c r="F219" s="21">
        <f>'Fiscal Forecasts'!F$254</f>
        <v>-20.923999999999999</v>
      </c>
      <c r="G219" s="21">
        <f>'Fiscal Forecasts'!G$254</f>
        <v>-22.806999999999999</v>
      </c>
      <c r="H219" s="21">
        <f>'Fiscal Forecasts'!H$254</f>
        <v>-24.303999999999998</v>
      </c>
      <c r="I219" s="21">
        <f>'Fiscal Forecasts'!I$254</f>
        <v>-26.544</v>
      </c>
      <c r="J219" s="21">
        <f>'Fiscal Forecasts'!J$254</f>
        <v>-26.117999999999999</v>
      </c>
      <c r="K219" s="21">
        <f>'Fiscal Forecasts'!K$254</f>
        <v>-26.321000000000002</v>
      </c>
      <c r="L219" s="21">
        <f>'Fiscal Forecasts'!L$254</f>
        <v>-27.155999999999999</v>
      </c>
      <c r="M219" s="21">
        <f>'Fiscal Forecasts'!M$254</f>
        <v>-27.565000000000001</v>
      </c>
      <c r="N219" s="21">
        <f>'Fiscal Forecasts'!N$254</f>
        <v>-28.195</v>
      </c>
      <c r="O219" s="24">
        <f>'Fiscal Forecasts'!O$254</f>
        <v>-29.058</v>
      </c>
      <c r="P219" s="24">
        <f>'Fiscal Forecasts'!P$254</f>
        <v>-29.262</v>
      </c>
      <c r="Q219" s="24">
        <f>'Fiscal Forecasts'!Q$254</f>
        <v>-29.34</v>
      </c>
      <c r="R219" s="24">
        <f>'Fiscal Forecasts'!R$254</f>
        <v>-29.425000000000001</v>
      </c>
      <c r="S219" s="24">
        <f>'Fiscal Forecasts'!S$254</f>
        <v>-29.523</v>
      </c>
      <c r="T219" s="26">
        <f ca="1">IF(T$4=OFFSET(Choices!$B$10,0,$C$1),AVERAGE(SUM(Q$212,Q$219)/SUM(Q$205,Q$212,Q$219),SUM(R$212,R$219)/SUM(R$205,R$212,R$219),SUM(S$212,S$219)/SUM(S$205,S$212,S$219)),SUM(S$212,S$219)/SUM(S$205,S$212,S$219))*SUM(T$193,T$251,T$261,T$282,T$293-T$235)-T$212</f>
        <v>-29.908080697245801</v>
      </c>
      <c r="U219" s="26">
        <f ca="1">IF(U$4=OFFSET(Choices!$B$10,0,$C$1),AVERAGE(SUM(R$212,R$219)/SUM(R$205,R$212,R$219),SUM(S$212,S$219)/SUM(S$205,S$212,S$219),SUM(T$212,T$219)/SUM(T$205,T$212,T$219)),SUM(T$212,T$219)/SUM(T$205,T$212,T$219))*SUM(U$193,U$251,U$261,U$282,U$293-U$235)-U$212</f>
        <v>-30.223283113333522</v>
      </c>
      <c r="V219" s="26">
        <f ca="1">IF(V$4=OFFSET(Choices!$B$10,0,$C$1),AVERAGE(SUM(S$212,S$219)/SUM(S$205,S$212,S$219),SUM(T$212,T$219)/SUM(T$205,T$212,T$219),SUM(U$212,U$219)/SUM(U$205,U$212,U$219)),SUM(U$212,U$219)/SUM(U$205,U$212,U$219))*SUM(V$193,V$251,V$261,V$282,V$293-V$235)-V$212</f>
        <v>-30.555679955105692</v>
      </c>
      <c r="W219" s="26">
        <f ca="1">IF(W$4=OFFSET(Choices!$B$10,0,$C$1),AVERAGE(SUM(T$212,T$219)/SUM(T$205,T$212,T$219),SUM(U$212,U$219)/SUM(U$205,U$212,U$219),SUM(V$212,V$219)/SUM(V$205,V$212,V$219)),SUM(V$212,V$219)/SUM(V$205,V$212,V$219))*SUM(W$193,W$251,W$261,W$282,W$293-W$235)-W$212</f>
        <v>-30.906583367027491</v>
      </c>
      <c r="X219" s="26">
        <f ca="1">IF(X$4=OFFSET(Choices!$B$10,0,$C$1),AVERAGE(SUM(U$212,U$219)/SUM(U$205,U$212,U$219),SUM(V$212,V$219)/SUM(V$205,V$212,V$219),SUM(W$212,W$219)/SUM(W$205,W$212,W$219)),SUM(W$212,W$219)/SUM(W$205,W$212,W$219))*SUM(X$193,X$251,X$261,X$282,X$293-X$235)-X$212</f>
        <v>-31.272325159241596</v>
      </c>
      <c r="Y219" s="26">
        <f ca="1">IF(Y$4=OFFSET(Choices!$B$10,0,$C$1),AVERAGE(SUM(V$212,V$219)/SUM(V$205,V$212,V$219),SUM(W$212,W$219)/SUM(W$205,W$212,W$219),SUM(X$212,X$219)/SUM(X$205,X$212,X$219)),SUM(X$212,X$219)/SUM(X$205,X$212,X$219))*SUM(Y$193,Y$251,Y$261,Y$282,Y$293-Y$235)-Y$212</f>
        <v>-31.649582686598848</v>
      </c>
      <c r="Z219" s="26">
        <f ca="1">IF(Z$4=OFFSET(Choices!$B$10,0,$C$1),AVERAGE(SUM(W$212,W$219)/SUM(W$205,W$212,W$219),SUM(X$212,X$219)/SUM(X$205,X$212,X$219),SUM(Y$212,Y$219)/SUM(Y$205,Y$212,Y$219)),SUM(Y$212,Y$219)/SUM(Y$205,Y$212,Y$219))*SUM(Z$193,Z$251,Z$261,Z$282,Z$293-Z$235)-Z$212</f>
        <v>-32.033179259832828</v>
      </c>
      <c r="AA219" s="26">
        <f ca="1">IF(AA$4=OFFSET(Choices!$B$10,0,$C$1),AVERAGE(SUM(X$212,X$219)/SUM(X$205,X$212,X$219),SUM(Y$212,Y$219)/SUM(Y$205,Y$212,Y$219),SUM(Z$212,Z$219)/SUM(Z$205,Z$212,Z$219)),SUM(Z$212,Z$219)/SUM(Z$205,Z$212,Z$219))*SUM(AA$193,AA$251,AA$261,AA$282,AA$293-AA$235)-AA$212</f>
        <v>-32.426154096385382</v>
      </c>
      <c r="AB219" s="26">
        <f ca="1">IF(AB$4=OFFSET(Choices!$B$10,0,$C$1),AVERAGE(SUM(Y$212,Y$219)/SUM(Y$205,Y$212,Y$219),SUM(Z$212,Z$219)/SUM(Z$205,Z$212,Z$219),SUM(AA$212,AA$219)/SUM(AA$205,AA$212,AA$219)),SUM(AA$212,AA$219)/SUM(AA$205,AA$212,AA$219))*SUM(AB$193,AB$251,AB$261,AB$282,AB$293-AB$235)-AB$212</f>
        <v>-32.823608461482387</v>
      </c>
      <c r="AC219" s="26">
        <f ca="1">IF(AC$4=OFFSET(Choices!$B$10,0,$C$1),AVERAGE(SUM(Z$212,Z$219)/SUM(Z$205,Z$212,Z$219),SUM(AA$212,AA$219)/SUM(AA$205,AA$212,AA$219),SUM(AB$212,AB$219)/SUM(AB$205,AB$212,AB$219)),SUM(AB$212,AB$219)/SUM(AB$205,AB$212,AB$219))*SUM(AC$193,AC$251,AC$261,AC$282,AC$293-AC$235)-AC$212</f>
        <v>-33.23056731470183</v>
      </c>
    </row>
    <row r="220" spans="1:29" x14ac:dyDescent="0.2">
      <c r="A220" s="31" t="s">
        <v>486</v>
      </c>
      <c r="F220" s="56">
        <f>SUM(F$216:F$219)</f>
        <v>27.841999999999999</v>
      </c>
      <c r="G220" s="56">
        <f t="shared" ref="G220:AC220" si="137">SUM(G$216:G$219)</f>
        <v>30.656000000000002</v>
      </c>
      <c r="H220" s="56">
        <f t="shared" si="137"/>
        <v>34.116</v>
      </c>
      <c r="I220" s="56">
        <f t="shared" si="137"/>
        <v>31.338000000000005</v>
      </c>
      <c r="J220" s="56">
        <f t="shared" si="137"/>
        <v>35.829000000000008</v>
      </c>
      <c r="K220" s="56">
        <f t="shared" si="137"/>
        <v>35.677999999999997</v>
      </c>
      <c r="L220" s="56">
        <f t="shared" si="137"/>
        <v>36.162999999999997</v>
      </c>
      <c r="M220" s="56">
        <f t="shared" si="137"/>
        <v>35.224999999999994</v>
      </c>
      <c r="N220" s="56">
        <f t="shared" si="137"/>
        <v>35.910000000000004</v>
      </c>
      <c r="O220" s="57">
        <f t="shared" si="137"/>
        <v>37.78799999999999</v>
      </c>
      <c r="P220" s="57">
        <f t="shared" si="137"/>
        <v>37.370000000000005</v>
      </c>
      <c r="Q220" s="57">
        <f t="shared" si="137"/>
        <v>37.685000000000002</v>
      </c>
      <c r="R220" s="57">
        <f t="shared" si="137"/>
        <v>37.486000000000004</v>
      </c>
      <c r="S220" s="57">
        <f t="shared" si="137"/>
        <v>37.489000000000004</v>
      </c>
      <c r="T220" s="58">
        <f t="shared" ca="1" si="137"/>
        <v>38.142429801585529</v>
      </c>
      <c r="U220" s="58">
        <f t="shared" ca="1" si="137"/>
        <v>38.808162456557199</v>
      </c>
      <c r="V220" s="58">
        <f t="shared" ca="1" si="137"/>
        <v>39.517048405061871</v>
      </c>
      <c r="W220" s="58">
        <f t="shared" ca="1" si="137"/>
        <v>40.243095425330537</v>
      </c>
      <c r="X220" s="58">
        <f t="shared" ca="1" si="137"/>
        <v>41.002902182112614</v>
      </c>
      <c r="Y220" s="58">
        <f t="shared" ca="1" si="137"/>
        <v>41.77863630371192</v>
      </c>
      <c r="Z220" s="58">
        <f t="shared" ca="1" si="137"/>
        <v>42.57984958087156</v>
      </c>
      <c r="AA220" s="58">
        <f t="shared" ca="1" si="137"/>
        <v>43.400678083715498</v>
      </c>
      <c r="AB220" s="58">
        <f t="shared" ca="1" si="137"/>
        <v>44.235866044808695</v>
      </c>
      <c r="AC220" s="58">
        <f t="shared" ca="1" si="137"/>
        <v>45.093226623221142</v>
      </c>
    </row>
    <row r="222" spans="1:29" x14ac:dyDescent="0.2">
      <c r="A222" s="31" t="s">
        <v>233</v>
      </c>
    </row>
    <row r="223" spans="1:29" x14ac:dyDescent="0.2">
      <c r="A223" s="3" t="s">
        <v>412</v>
      </c>
      <c r="B223" s="4" t="str">
        <f>$B$46</f>
        <v>From Fiscal Forecasts</v>
      </c>
      <c r="F223" s="21">
        <f>'Fiscal Forecasts'!F$257</f>
        <v>2.33</v>
      </c>
      <c r="G223" s="21">
        <f>'Fiscal Forecasts'!G$257</f>
        <v>2.46</v>
      </c>
      <c r="H223" s="21">
        <f>'Fiscal Forecasts'!H$257</f>
        <v>2.4289999999999998</v>
      </c>
      <c r="I223" s="21">
        <f>'Fiscal Forecasts'!I$257</f>
        <v>2.3109999999999999</v>
      </c>
      <c r="J223" s="21">
        <f>'Fiscal Forecasts'!J$257</f>
        <v>3.0659999999999998</v>
      </c>
      <c r="K223" s="21">
        <f>'Fiscal Forecasts'!K$257</f>
        <v>3.5110000000000001</v>
      </c>
      <c r="L223" s="21">
        <f>'Fiscal Forecasts'!L$257</f>
        <v>3.62</v>
      </c>
      <c r="M223" s="21">
        <f>'Fiscal Forecasts'!M$257</f>
        <v>3.62</v>
      </c>
      <c r="N223" s="21">
        <f>'Fiscal Forecasts'!N$257</f>
        <v>3.7829999999999999</v>
      </c>
      <c r="O223" s="24">
        <f>'Fiscal Forecasts'!O$257</f>
        <v>3.6560000000000001</v>
      </c>
      <c r="P223" s="24">
        <f>'Fiscal Forecasts'!P$257</f>
        <v>3.9460000000000002</v>
      </c>
      <c r="Q223" s="24">
        <f>'Fiscal Forecasts'!Q$257</f>
        <v>4.0510000000000002</v>
      </c>
      <c r="R223" s="24">
        <f>'Fiscal Forecasts'!R$257</f>
        <v>4.22</v>
      </c>
      <c r="S223" s="24">
        <f>'Fiscal Forecasts'!S$257</f>
        <v>4.3310000000000004</v>
      </c>
      <c r="T223" s="26">
        <f t="shared" ref="T223:AC223" ca="1" si="138">T$228*(S$85+(T$345-S$345-SUM(T$456-T$363,T$457,T$458+T$362-(T$348-S$348),T$459)+SUM(-T$460,-T$461+T$364-(T$427-S$427),-S$462,T$241,T$243)-SUM(T$481,T$424-S$424)+S$223-(-S$462))/2)</f>
        <v>4.4754078061880529</v>
      </c>
      <c r="U223" s="26">
        <f t="shared" ca="1" si="138"/>
        <v>4.5244827244747166</v>
      </c>
      <c r="V223" s="26">
        <f t="shared" ca="1" si="138"/>
        <v>4.576776877413284</v>
      </c>
      <c r="W223" s="26">
        <f t="shared" ca="1" si="138"/>
        <v>4.6380239847729641</v>
      </c>
      <c r="X223" s="26">
        <f t="shared" ca="1" si="138"/>
        <v>4.6348221680492792</v>
      </c>
      <c r="Y223" s="26">
        <f t="shared" ca="1" si="138"/>
        <v>4.5579193961615196</v>
      </c>
      <c r="Z223" s="26">
        <f t="shared" ca="1" si="138"/>
        <v>4.3940491661378944</v>
      </c>
      <c r="AA223" s="26">
        <f t="shared" ca="1" si="138"/>
        <v>4.0172392954677214</v>
      </c>
      <c r="AB223" s="26">
        <f t="shared" ca="1" si="138"/>
        <v>3.5415961998661145</v>
      </c>
      <c r="AC223" s="26">
        <f t="shared" ca="1" si="138"/>
        <v>2.9623020037671814</v>
      </c>
    </row>
    <row r="224" spans="1:29" x14ac:dyDescent="0.2">
      <c r="A224" s="3" t="s">
        <v>413</v>
      </c>
      <c r="B224" s="4" t="str">
        <f>$B$46</f>
        <v>From Fiscal Forecasts</v>
      </c>
      <c r="F224" s="21">
        <f>'Fiscal Forecasts'!F$258</f>
        <v>0.26500000000000001</v>
      </c>
      <c r="G224" s="21">
        <f>'Fiscal Forecasts'!G$258</f>
        <v>0.248</v>
      </c>
      <c r="H224" s="21">
        <f>'Fiscal Forecasts'!H$258</f>
        <v>0.185</v>
      </c>
      <c r="I224" s="21">
        <f>'Fiscal Forecasts'!I$258</f>
        <v>0.245</v>
      </c>
      <c r="J224" s="21">
        <f>'Fiscal Forecasts'!J$258</f>
        <v>0.248</v>
      </c>
      <c r="K224" s="21">
        <f>'Fiscal Forecasts'!K$258</f>
        <v>0.246</v>
      </c>
      <c r="L224" s="21">
        <f>'Fiscal Forecasts'!L$258</f>
        <v>0.23499999999999999</v>
      </c>
      <c r="M224" s="21">
        <f>'Fiscal Forecasts'!M$258</f>
        <v>0.219</v>
      </c>
      <c r="N224" s="21">
        <f>'Fiscal Forecasts'!N$258</f>
        <v>0.221</v>
      </c>
      <c r="O224" s="24">
        <f>'Fiscal Forecasts'!O$258</f>
        <v>0.22</v>
      </c>
      <c r="P224" s="24">
        <f>'Fiscal Forecasts'!P$258</f>
        <v>0.222</v>
      </c>
      <c r="Q224" s="24">
        <f>'Fiscal Forecasts'!Q$258</f>
        <v>0.23200000000000001</v>
      </c>
      <c r="R224" s="24">
        <f>'Fiscal Forecasts'!R$258</f>
        <v>0.24</v>
      </c>
      <c r="S224" s="24">
        <f>'Fiscal Forecasts'!S$258</f>
        <v>0.246</v>
      </c>
      <c r="T224" s="26">
        <f ca="1">IF(T$4=OFFSET(Choices!$B$10,0,$C$1),AVERAGE(Q$224/SUM(Q$224:Q$226),R$224/SUM(R$224:R$226),S$224/SUM(S$224:S$226)),S$224/SUM(S$224:S$226))*(T$229*(S$84+(T$346-S$346-SUM(T$100,T$111,T$112,T$114)+SUM(T$101,T$102,S$103,T$241,T$243)+S$227-S$103)/2)-T$223)</f>
        <v>0.25211699428748757</v>
      </c>
      <c r="U224" s="26">
        <f ca="1">IF(U$4=OFFSET(Choices!$B$10,0,$C$1),AVERAGE(R$224/SUM(R$224:R$226),S$224/SUM(S$224:S$226),T$224/SUM(T$224:T$226)),T$224/SUM(T$224:T$226))*(U$229*(T$84+(U$346-T$346-SUM(U$100,U$111,U$112,U$114)+SUM(U$101,U$102,T$103,U$241,U$243)+T$227-T$103)/2)-U$223)</f>
        <v>0.25097772395862472</v>
      </c>
      <c r="V224" s="26">
        <f ca="1">IF(V$4=OFFSET(Choices!$B$10,0,$C$1),AVERAGE(S$224/SUM(S$224:S$226),T$224/SUM(T$224:T$226),U$224/SUM(U$224:U$226)),U$224/SUM(U$224:U$226))*(V$229*(U$84+(V$346-U$346-SUM(V$100,V$111,V$112,V$114)+SUM(V$101,V$102,U$103,V$241,V$243)+U$227-U$103)/2)-V$223)</f>
        <v>0.24946384855195303</v>
      </c>
      <c r="W224" s="26">
        <f ca="1">IF(W$4=OFFSET(Choices!$B$10,0,$C$1),AVERAGE(T$224/SUM(T$224:T$226),U$224/SUM(U$224:U$226),V$224/SUM(V$224:V$226)),V$224/SUM(V$224:V$226))*(W$229*(V$84+(W$346-V$346-SUM(W$100,W$111,W$112,W$114)+SUM(W$101,W$102,V$103,W$241,W$243)+V$227-V$103)/2)-W$223)</f>
        <v>0.24844656152927588</v>
      </c>
      <c r="X224" s="26">
        <f ca="1">IF(X$4=OFFSET(Choices!$B$10,0,$C$1),AVERAGE(U$224/SUM(U$224:U$226),V$224/SUM(V$224:V$226),W$224/SUM(W$224:W$226)),W$224/SUM(W$224:W$226))*(X$229*(W$84+(X$346-W$346-SUM(X$100,X$111,X$112,X$114)+SUM(X$101,X$102,W$103,X$241,X$243)+W$227-W$103)/2)-X$223)</f>
        <v>0.24817706504843445</v>
      </c>
      <c r="Y224" s="26">
        <f ca="1">IF(Y$4=OFFSET(Choices!$B$10,0,$C$1),AVERAGE(V$224/SUM(V$224:V$226),W$224/SUM(W$224:W$226),X$224/SUM(X$224:X$226)),X$224/SUM(X$224:X$226))*(Y$229*(X$84+(Y$346-X$346-SUM(Y$100,Y$111,Y$112,Y$114)+SUM(Y$101,Y$102,X$103,Y$241,Y$243)+X$227-X$103)/2)-Y$223)</f>
        <v>0.24944799076707927</v>
      </c>
      <c r="Z224" s="26">
        <f ca="1">IF(Z$4=OFFSET(Choices!$B$10,0,$C$1),AVERAGE(W$224/SUM(W$224:W$226),X$224/SUM(X$224:X$226),Y$224/SUM(Y$224:Y$226)),Y$224/SUM(Y$224:Y$226))*(Z$229*(Y$84+(Z$346-Y$346-SUM(Z$100,Z$111,Z$112,Z$114)+SUM(Z$101,Z$102,Y$103,Z$241,Z$243)+Y$227-Y$103)/2)-Z$223)</f>
        <v>0.25223632941003921</v>
      </c>
      <c r="AA224" s="26">
        <f ca="1">IF(AA$4=OFFSET(Choices!$B$10,0,$C$1),AVERAGE(X$224/SUM(X$224:X$226),Y$224/SUM(Y$224:Y$226),Z$224/SUM(Z$224:Z$226)),Z$224/SUM(Z$224:Z$226))*(AA$229*(Z$84+(AA$346-Z$346-SUM(AA$100,AA$111,AA$112,AA$114)+SUM(AA$101,AA$102,Z$103,AA$241,AA$243)+Z$227-Z$103)/2)-AA$223)</f>
        <v>0.2514972976574581</v>
      </c>
      <c r="AB224" s="26">
        <f ca="1">IF(AB$4=OFFSET(Choices!$B$10,0,$C$1),AVERAGE(Y$224/SUM(Y$224:Y$226),Z$224/SUM(Z$224:Z$226),AA$224/SUM(AA$224:AA$226)),AA$224/SUM(AA$224:AA$226))*(AB$229*(AA$84+(AB$346-AA$346-SUM(AB$100,AB$111,AB$112,AB$114)+SUM(AB$101,AB$102,AA$103,AB$241,AB$243)+AA$227-AA$103)/2)-AB$223)</f>
        <v>0.25125908256736895</v>
      </c>
      <c r="AC224" s="26">
        <f ca="1">IF(AC$4=OFFSET(Choices!$B$10,0,$C$1),AVERAGE(Z$224/SUM(Z$224:Z$226),AA$224/SUM(AA$224:AA$226),AB$224/SUM(AB$224:AB$226)),AB$224/SUM(AB$224:AB$226))*(AC$229*(AB$84+(AC$346-AB$346-SUM(AC$100,AC$111,AC$112,AC$114)+SUM(AC$101,AC$102,AB$103,AC$241,AC$243)+AB$227-AB$103)/2)-AC$223)</f>
        <v>0.25145176703014621</v>
      </c>
    </row>
    <row r="225" spans="1:29" x14ac:dyDescent="0.2">
      <c r="A225" s="3" t="s">
        <v>414</v>
      </c>
      <c r="B225" s="4" t="str">
        <f>$B$46</f>
        <v>From Fiscal Forecasts</v>
      </c>
      <c r="F225" s="21">
        <f>'Fiscal Forecasts'!F$259</f>
        <v>0.68500000000000005</v>
      </c>
      <c r="G225" s="21">
        <f>'Fiscal Forecasts'!G$259</f>
        <v>0.87</v>
      </c>
      <c r="H225" s="21">
        <f>'Fiscal Forecasts'!H$259</f>
        <v>0.97</v>
      </c>
      <c r="I225" s="21">
        <f>'Fiscal Forecasts'!I$259</f>
        <v>0.84499999999999997</v>
      </c>
      <c r="J225" s="21">
        <f>'Fiscal Forecasts'!J$259</f>
        <v>1.0269999999999999</v>
      </c>
      <c r="K225" s="21">
        <f>'Fiscal Forecasts'!K$259</f>
        <v>1.268</v>
      </c>
      <c r="L225" s="21">
        <f>'Fiscal Forecasts'!L$259</f>
        <v>1.248</v>
      </c>
      <c r="M225" s="21">
        <f>'Fiscal Forecasts'!M$259</f>
        <v>1.161</v>
      </c>
      <c r="N225" s="21">
        <f>'Fiscal Forecasts'!N$259</f>
        <v>1.28</v>
      </c>
      <c r="O225" s="24">
        <f>'Fiscal Forecasts'!O$259</f>
        <v>1.2709999999999999</v>
      </c>
      <c r="P225" s="24">
        <f>'Fiscal Forecasts'!P$259</f>
        <v>1.288</v>
      </c>
      <c r="Q225" s="24">
        <f>'Fiscal Forecasts'!Q$259</f>
        <v>1.4119999999999999</v>
      </c>
      <c r="R225" s="24">
        <f>'Fiscal Forecasts'!R$259</f>
        <v>1.444</v>
      </c>
      <c r="S225" s="24">
        <f>'Fiscal Forecasts'!S$259</f>
        <v>1.5009999999999999</v>
      </c>
      <c r="T225" s="26">
        <f ca="1">IF(T$4=OFFSET(Choices!$B$10,0,$C$1),AVERAGE(Q$225/SUM(Q$224:Q$226),R$225/SUM(R$224:R$226),S$225/SUM(S$224:S$226)),S$225/SUM(S$224:S$226))*(T$229*(S$84+(T$346-S$346-SUM(T$100,T$111,T$112,T$114)+SUM(T$101,T$102,S$103,T$241,T$243)+S$227-S$103)/2)-T$223)</f>
        <v>1.529828041605293</v>
      </c>
      <c r="U225" s="26">
        <f ca="1">IF(U$4=OFFSET(Choices!$B$10,0,$C$1),AVERAGE(R$225/SUM(R$224:R$226),S$225/SUM(S$224:S$226),T$225/SUM(T$224:T$226)),T$225/SUM(T$224:T$226))*(U$229*(T$84+(U$346-T$346-SUM(U$100,U$111,U$112,U$114)+SUM(U$101,U$102,T$103,U$241,U$243)+T$227-T$103)/2)-U$223)</f>
        <v>1.5229150300449701</v>
      </c>
      <c r="V225" s="26">
        <f ca="1">IF(V$4=OFFSET(Choices!$B$10,0,$C$1),AVERAGE(S$225/SUM(S$224:S$226),T$225/SUM(T$224:T$226),U$225/SUM(U$224:U$226)),U$225/SUM(U$224:U$226))*(V$229*(U$84+(V$346-U$346-SUM(V$100,V$111,V$112,V$114)+SUM(V$101,V$102,U$103,V$241,V$243)+U$227-U$103)/2)-V$223)</f>
        <v>1.5137289414388917</v>
      </c>
      <c r="W225" s="26">
        <f ca="1">IF(W$4=OFFSET(Choices!$B$10,0,$C$1),AVERAGE(T$225/SUM(T$224:T$226),U$225/SUM(U$224:U$226),V$225/SUM(V$224:V$226)),V$225/SUM(V$224:V$226))*(W$229*(V$84+(W$346-V$346-SUM(W$100,W$111,W$112,W$114)+SUM(W$101,W$102,V$103,W$241,W$243)+V$227-V$103)/2)-W$223)</f>
        <v>1.507556115929644</v>
      </c>
      <c r="X225" s="26">
        <f ca="1">IF(X$4=OFFSET(Choices!$B$10,0,$C$1),AVERAGE(U$225/SUM(U$224:U$226),V$225/SUM(V$224:V$226),W$225/SUM(W$224:W$226)),W$225/SUM(W$224:W$226))*(X$229*(W$84+(X$346-W$346-SUM(X$100,X$111,X$112,X$114)+SUM(X$101,X$102,W$103,X$241,X$243)+W$227-W$103)/2)-X$223)</f>
        <v>1.5059208303961547</v>
      </c>
      <c r="Y225" s="26">
        <f ca="1">IF(Y$4=OFFSET(Choices!$B$10,0,$C$1),AVERAGE(V$225/SUM(V$224:V$226),W$225/SUM(W$224:W$226),X$225/SUM(X$224:X$226)),X$225/SUM(X$224:X$226))*(Y$229*(X$84+(Y$346-X$346-SUM(Y$100,Y$111,Y$112,Y$114)+SUM(Y$101,Y$102,X$103,Y$241,Y$243)+X$227-X$103)/2)-Y$223)</f>
        <v>1.5136327175248865</v>
      </c>
      <c r="Z225" s="26">
        <f ca="1">IF(Z$4=OFFSET(Choices!$B$10,0,$C$1),AVERAGE(W$225/SUM(W$224:W$226),X$225/SUM(X$224:X$226),Y$225/SUM(Y$224:Y$226)),Y$225/SUM(Y$224:Y$226))*(Z$229*(Y$84+(Z$346-Y$346-SUM(Z$100,Z$111,Z$112,Z$114)+SUM(Z$101,Z$102,Y$103,Z$241,Z$243)+Y$227-Y$103)/2)-Z$223)</f>
        <v>1.5305521586658817</v>
      </c>
      <c r="AA225" s="26">
        <f ca="1">IF(AA$4=OFFSET(Choices!$B$10,0,$C$1),AVERAGE(X$225/SUM(X$224:X$226),Y$225/SUM(Y$224:Y$226),Z$225/SUM(Z$224:Z$226)),Z$225/SUM(Z$224:Z$226))*(AA$229*(Z$84+(AA$346-Z$346-SUM(AA$100,AA$111,AA$112,AA$114)+SUM(AA$101,AA$102,Z$103,AA$241,AA$243)+Z$227-Z$103)/2)-AA$223)</f>
        <v>1.5260677664021609</v>
      </c>
      <c r="AB225" s="26">
        <f ca="1">IF(AB$4=OFFSET(Choices!$B$10,0,$C$1),AVERAGE(Y$225/SUM(Y$224:Y$226),Z$225/SUM(Z$224:Z$226),AA$225/SUM(AA$224:AA$226)),AA$225/SUM(AA$224:AA$226))*(AB$229*(AA$84+(AB$346-AA$346-SUM(AB$100,AB$111,AB$112,AB$114)+SUM(AB$101,AB$102,AA$103,AB$241,AB$243)+AA$227-AA$103)/2)-AB$223)</f>
        <v>1.5246222941293304</v>
      </c>
      <c r="AC225" s="26">
        <f ca="1">IF(AC$4=OFFSET(Choices!$B$10,0,$C$1),AVERAGE(Z$225/SUM(Z$224:Z$226),AA$225/SUM(AA$224:AA$226),AB$225/SUM(AB$224:AB$226)),AB$225/SUM(AB$224:AB$226))*(AC$229*(AB$84+(AC$346-AB$346-SUM(AC$100,AC$111,AC$112,AC$114)+SUM(AC$101,AC$102,AB$103,AC$241,AC$243)+AB$227-AB$103)/2)-AC$223)</f>
        <v>1.525791489784591</v>
      </c>
    </row>
    <row r="226" spans="1:29" x14ac:dyDescent="0.2">
      <c r="A226" s="3" t="s">
        <v>415</v>
      </c>
      <c r="B226" s="4" t="str">
        <f>$B$46</f>
        <v>From Fiscal Forecasts</v>
      </c>
      <c r="F226" s="21">
        <f>'Fiscal Forecasts'!F$260</f>
        <v>-0.39500000000000002</v>
      </c>
      <c r="G226" s="21">
        <f>'Fiscal Forecasts'!G$260</f>
        <v>-0.47699999999999998</v>
      </c>
      <c r="H226" s="21">
        <f>'Fiscal Forecasts'!H$260</f>
        <v>-0.51400000000000001</v>
      </c>
      <c r="I226" s="21">
        <f>'Fiscal Forecasts'!I$260</f>
        <v>-0.624</v>
      </c>
      <c r="J226" s="21">
        <f>'Fiscal Forecasts'!J$260</f>
        <v>-0.745</v>
      </c>
      <c r="K226" s="21">
        <f>'Fiscal Forecasts'!K$260</f>
        <v>-0.73499999999999999</v>
      </c>
      <c r="L226" s="21">
        <f>'Fiscal Forecasts'!L$260</f>
        <v>-0.745</v>
      </c>
      <c r="M226" s="21">
        <f>'Fiscal Forecasts'!M$260</f>
        <v>-0.6</v>
      </c>
      <c r="N226" s="21">
        <f>'Fiscal Forecasts'!N$260</f>
        <v>-0.72099999999999997</v>
      </c>
      <c r="O226" s="24">
        <f>'Fiscal Forecasts'!O$260</f>
        <v>-0.72599999999999998</v>
      </c>
      <c r="P226" s="24">
        <f>'Fiscal Forecasts'!P$260</f>
        <v>-0.626</v>
      </c>
      <c r="Q226" s="24">
        <f>'Fiscal Forecasts'!Q$260</f>
        <v>-0.61799999999999999</v>
      </c>
      <c r="R226" s="24">
        <f>'Fiscal Forecasts'!R$260</f>
        <v>-0.64400000000000002</v>
      </c>
      <c r="S226" s="24">
        <f>'Fiscal Forecasts'!S$260</f>
        <v>-0.67</v>
      </c>
      <c r="T226" s="26">
        <f ca="1">IF(T$4=OFFSET(Choices!$B$10,0,$C$1),AVERAGE(Q$226/SUM(Q$224:Q$226),R$226/SUM(R$224:R$226),S$226/SUM(S$224:S$226)),S$226/SUM(S$224:S$226))*(T$229*(S$84+(T$346-S$346-SUM(T$100,T$111,T$112,T$114)+SUM(T$101,T$102,S$103,T$241,T$243)+S$227-S$103)/2)-T$223)</f>
        <v>-0.67827015622584852</v>
      </c>
      <c r="U226" s="26">
        <f ca="1">IF(U$4=OFFSET(Choices!$B$10,0,$C$1),AVERAGE(R$226/SUM(R$224:R$226),S$226/SUM(S$224:S$226),T$226/SUM(T$224:T$226)),T$226/SUM(T$224:T$226))*(U$229*(T$84+(U$346-T$346-SUM(U$100,U$111,U$112,U$114)+SUM(U$101,U$102,T$103,U$241,U$243)+T$227-T$103)/2)-U$223)</f>
        <v>-0.67520517813452574</v>
      </c>
      <c r="V226" s="26">
        <f ca="1">IF(V$4=OFFSET(Choices!$B$10,0,$C$1),AVERAGE(S$226/SUM(S$224:S$226),T$226/SUM(T$224:T$226),U$226/SUM(U$224:U$226)),U$226/SUM(U$224:U$226))*(V$229*(U$84+(V$346-U$346-SUM(V$100,V$111,V$112,V$114)+SUM(V$101,V$102,U$103,V$241,V$243)+U$227-U$103)/2)-V$223)</f>
        <v>-0.67113240028989218</v>
      </c>
      <c r="W226" s="26">
        <f ca="1">IF(W$4=OFFSET(Choices!$B$10,0,$C$1),AVERAGE(T$226/SUM(T$224:T$226),U$226/SUM(U$224:U$226),V$226/SUM(V$224:V$226)),V$226/SUM(V$224:V$226))*(W$229*(V$84+(W$346-V$346-SUM(W$100,W$111,W$112,W$114)+SUM(W$101,W$102,V$103,W$241,W$243)+V$227-V$103)/2)-W$223)</f>
        <v>-0.66839559379357583</v>
      </c>
      <c r="X226" s="26">
        <f ca="1">IF(X$4=OFFSET(Choices!$B$10,0,$C$1),AVERAGE(U$226/SUM(U$224:U$226),V$226/SUM(V$224:V$226),W$226/SUM(W$224:W$226)),W$226/SUM(W$224:W$226))*(X$229*(W$84+(X$346-W$346-SUM(X$100,X$111,X$112,X$114)+SUM(X$101,X$102,W$103,X$241,X$243)+W$227-W$103)/2)-X$223)</f>
        <v>-0.66767056761801313</v>
      </c>
      <c r="Y226" s="26">
        <f ca="1">IF(Y$4=OFFSET(Choices!$B$10,0,$C$1),AVERAGE(V$226/SUM(V$224:V$226),W$226/SUM(W$224:W$226),X$226/SUM(X$224:X$226)),X$226/SUM(X$224:X$226))*(Y$229*(X$84+(Y$346-X$346-SUM(Y$100,Y$111,Y$112,Y$114)+SUM(Y$101,Y$102,X$103,Y$241,Y$243)+X$227-X$103)/2)-Y$223)</f>
        <v>-0.67108973810341765</v>
      </c>
      <c r="Z226" s="26">
        <f ca="1">IF(Z$4=OFFSET(Choices!$B$10,0,$C$1),AVERAGE(W$226/SUM(W$224:W$226),X$226/SUM(X$224:X$226),Y$226/SUM(Y$224:Y$226)),Y$226/SUM(Y$224:Y$226))*(Z$229*(Y$84+(Z$346-Y$346-SUM(Z$100,Z$111,Z$112,Z$114)+SUM(Z$101,Z$102,Y$103,Z$241,Z$243)+Y$227-Y$103)/2)-Z$223)</f>
        <v>-0.67859120341445656</v>
      </c>
      <c r="AA226" s="26">
        <f ca="1">IF(AA$4=OFFSET(Choices!$B$10,0,$C$1),AVERAGE(X$226/SUM(X$224:X$226),Y$226/SUM(Y$224:Y$226),Z$226/SUM(Z$224:Z$226)),Z$226/SUM(Z$224:Z$226))*(AA$229*(Z$84+(AA$346-Z$346-SUM(AA$100,AA$111,AA$112,AA$114)+SUM(AA$101,AA$102,Z$103,AA$241,AA$243)+Z$227-Z$103)/2)-AA$223)</f>
        <v>-0.67660298685771203</v>
      </c>
      <c r="AB226" s="26">
        <f ca="1">IF(AB$4=OFFSET(Choices!$B$10,0,$C$1),AVERAGE(Y$226/SUM(Y$224:Y$226),Z$226/SUM(Z$224:Z$226),AA$226/SUM(AA$224:AA$226)),AA$226/SUM(AA$224:AA$226))*(AB$229*(AA$84+(AB$346-AA$346-SUM(AB$100,AB$111,AB$112,AB$114)+SUM(AB$101,AB$102,AA$103,AB$241,AB$243)+AA$227-AA$103)/2)-AB$223)</f>
        <v>-0.67596211698368092</v>
      </c>
      <c r="AC226" s="26">
        <f ca="1">IF(AC$4=OFFSET(Choices!$B$10,0,$C$1),AVERAGE(Z$226/SUM(Z$224:Z$226),AA$226/SUM(AA$224:AA$226),AB$226/SUM(AB$224:AB$226)),AB$226/SUM(AB$224:AB$226))*(AC$229*(AB$84+(AC$346-AB$346-SUM(AC$100,AC$111,AC$112,AC$114)+SUM(AC$101,AC$102,AB$103,AC$241,AC$243)+AB$227-AB$103)/2)-AC$223)</f>
        <v>-0.67648049584600078</v>
      </c>
    </row>
    <row r="227" spans="1:29" x14ac:dyDescent="0.2">
      <c r="A227" s="31" t="s">
        <v>487</v>
      </c>
      <c r="F227" s="56">
        <f>SUM(F$223:F$226)</f>
        <v>2.8850000000000002</v>
      </c>
      <c r="G227" s="56">
        <f t="shared" ref="G227:AC227" si="139">SUM(G$223:G$226)</f>
        <v>3.1010000000000004</v>
      </c>
      <c r="H227" s="56">
        <f t="shared" si="139"/>
        <v>3.0699999999999994</v>
      </c>
      <c r="I227" s="56">
        <f t="shared" si="139"/>
        <v>2.7769999999999997</v>
      </c>
      <c r="J227" s="56">
        <f t="shared" si="139"/>
        <v>3.5960000000000001</v>
      </c>
      <c r="K227" s="56">
        <f t="shared" si="139"/>
        <v>4.29</v>
      </c>
      <c r="L227" s="56">
        <f t="shared" si="139"/>
        <v>4.3579999999999997</v>
      </c>
      <c r="M227" s="56">
        <f t="shared" si="139"/>
        <v>4.4000000000000004</v>
      </c>
      <c r="N227" s="56">
        <f t="shared" si="139"/>
        <v>4.5629999999999997</v>
      </c>
      <c r="O227" s="57">
        <f t="shared" si="139"/>
        <v>4.4210000000000003</v>
      </c>
      <c r="P227" s="57">
        <f t="shared" si="139"/>
        <v>4.83</v>
      </c>
      <c r="Q227" s="57">
        <f t="shared" si="139"/>
        <v>5.077</v>
      </c>
      <c r="R227" s="57">
        <f t="shared" si="139"/>
        <v>5.26</v>
      </c>
      <c r="S227" s="57">
        <f t="shared" si="139"/>
        <v>5.4079999999999995</v>
      </c>
      <c r="T227" s="58">
        <f t="shared" ca="1" si="139"/>
        <v>5.5790826858549849</v>
      </c>
      <c r="U227" s="58">
        <f t="shared" ca="1" si="139"/>
        <v>5.6231703003437854</v>
      </c>
      <c r="V227" s="58">
        <f t="shared" ca="1" si="139"/>
        <v>5.6688372671142364</v>
      </c>
      <c r="W227" s="58">
        <f t="shared" ca="1" si="139"/>
        <v>5.7256310684383083</v>
      </c>
      <c r="X227" s="58">
        <f t="shared" ca="1" si="139"/>
        <v>5.7212494958758553</v>
      </c>
      <c r="Y227" s="58">
        <f t="shared" ca="1" si="139"/>
        <v>5.6499103663500678</v>
      </c>
      <c r="Z227" s="58">
        <f t="shared" ca="1" si="139"/>
        <v>5.4982464507993587</v>
      </c>
      <c r="AA227" s="58">
        <f t="shared" ca="1" si="139"/>
        <v>5.1182013726696285</v>
      </c>
      <c r="AB227" s="58">
        <f t="shared" ca="1" si="139"/>
        <v>4.641515459579133</v>
      </c>
      <c r="AC227" s="58">
        <f t="shared" ca="1" si="139"/>
        <v>4.0630647647359179</v>
      </c>
    </row>
    <row r="228" spans="1:29" x14ac:dyDescent="0.2">
      <c r="A228" s="66" t="s">
        <v>784</v>
      </c>
      <c r="F228" s="62"/>
      <c r="G228" s="79">
        <f t="shared" ref="G228:S228" si="140">G$223/AVERAGE(F$85,G$85)</f>
        <v>6.7187414650133823E-2</v>
      </c>
      <c r="H228" s="79">
        <f t="shared" si="140"/>
        <v>5.5279298141805391E-2</v>
      </c>
      <c r="I228" s="79">
        <f t="shared" si="140"/>
        <v>4.2353932996114653E-2</v>
      </c>
      <c r="J228" s="79">
        <f t="shared" si="140"/>
        <v>4.5265302506865085E-2</v>
      </c>
      <c r="K228" s="79">
        <f t="shared" si="140"/>
        <v>4.3462383560795965E-2</v>
      </c>
      <c r="L228" s="79">
        <f t="shared" si="140"/>
        <v>4.270051252410751E-2</v>
      </c>
      <c r="M228" s="79">
        <f t="shared" si="140"/>
        <v>4.1618045216511551E-2</v>
      </c>
      <c r="N228" s="79">
        <f t="shared" si="140"/>
        <v>4.0955077162916326E-2</v>
      </c>
      <c r="O228" s="80">
        <f t="shared" si="140"/>
        <v>3.7741497581798192E-2</v>
      </c>
      <c r="P228" s="80">
        <f t="shared" si="140"/>
        <v>3.8538919816388323E-2</v>
      </c>
      <c r="Q228" s="80">
        <f t="shared" si="140"/>
        <v>3.8465190474381863E-2</v>
      </c>
      <c r="R228" s="80">
        <f t="shared" si="140"/>
        <v>4.1198063105279605E-2</v>
      </c>
      <c r="S228" s="80">
        <f t="shared" si="140"/>
        <v>4.2610128637135064E-2</v>
      </c>
      <c r="T228" s="59">
        <f ca="1">S$228+IF(T$4=OFFSET(Choices!$B$10,0,$C$1),ABS(OFFSET(Choices!$B$16,0,$C$1)-S$228)/OFFSET(Choices!$B$29,0,$C$1),MIN(ABS(S$228-R$228),ABS(OFFSET(Choices!$B$16,0,$C$1)-S$228)))*SIGN(OFFSET(Choices!$B$16,0,$C$1)-S$228)</f>
        <v>4.4094395974687201E-2</v>
      </c>
      <c r="U228" s="59">
        <f ca="1">T$228+IF(U$4=OFFSET(Choices!$B$10,0,$C$1),ABS(OFFSET(Choices!$B$16,0,$C$1)-T$228)/OFFSET(Choices!$B$29,0,$C$1),MIN(ABS(T$228-S$228),ABS(OFFSET(Choices!$B$16,0,$C$1)-T$228)))*SIGN(OFFSET(Choices!$B$16,0,$C$1)-T$228)</f>
        <v>4.5578663312239337E-2</v>
      </c>
      <c r="V228" s="59">
        <f ca="1">U$228+IF(V$4=OFFSET(Choices!$B$10,0,$C$1),ABS(OFFSET(Choices!$B$16,0,$C$1)-U$228)/OFFSET(Choices!$B$29,0,$C$1),MIN(ABS(U$228-T$228),ABS(OFFSET(Choices!$B$16,0,$C$1)-U$228)))*SIGN(OFFSET(Choices!$B$16,0,$C$1)-U$228)</f>
        <v>4.7062930649791473E-2</v>
      </c>
      <c r="W228" s="59">
        <f ca="1">V$228+IF(W$4=OFFSET(Choices!$B$10,0,$C$1),ABS(OFFSET(Choices!$B$16,0,$C$1)-V$228)/OFFSET(Choices!$B$29,0,$C$1),MIN(ABS(V$228-U$228),ABS(OFFSET(Choices!$B$16,0,$C$1)-V$228)))*SIGN(OFFSET(Choices!$B$16,0,$C$1)-V$228)</f>
        <v>4.854719798734361E-2</v>
      </c>
      <c r="X228" s="59">
        <f ca="1">W$228+IF(X$4=OFFSET(Choices!$B$10,0,$C$1),ABS(OFFSET(Choices!$B$16,0,$C$1)-W$228)/OFFSET(Choices!$B$29,0,$C$1),MIN(ABS(W$228-V$228),ABS(OFFSET(Choices!$B$16,0,$C$1)-W$228)))*SIGN(OFFSET(Choices!$B$16,0,$C$1)-W$228)</f>
        <v>5.0031465324895746E-2</v>
      </c>
      <c r="Y228" s="59">
        <f ca="1">X$228+IF(Y$4=OFFSET(Choices!$B$10,0,$C$1),ABS(OFFSET(Choices!$B$16,0,$C$1)-X$228)/OFFSET(Choices!$B$29,0,$C$1),MIN(ABS(X$228-W$228),ABS(OFFSET(Choices!$B$16,0,$C$1)-X$228)))*SIGN(OFFSET(Choices!$B$16,0,$C$1)-X$228)</f>
        <v>5.1515732662447883E-2</v>
      </c>
      <c r="Z228" s="59">
        <f ca="1">Y$228+IF(Z$4=OFFSET(Choices!$B$10,0,$C$1),ABS(OFFSET(Choices!$B$16,0,$C$1)-Y$228)/OFFSET(Choices!$B$29,0,$C$1),MIN(ABS(Y$228-X$228),ABS(OFFSET(Choices!$B$16,0,$C$1)-Y$228)))*SIGN(OFFSET(Choices!$B$16,0,$C$1)-Y$228)</f>
        <v>5.2999999999999999E-2</v>
      </c>
      <c r="AA228" s="59">
        <f ca="1">Z$228+IF(AA$4=OFFSET(Choices!$B$10,0,$C$1),ABS(OFFSET(Choices!$B$16,0,$C$1)-Z$228)/OFFSET(Choices!$B$29,0,$C$1),MIN(ABS(Z$228-Y$228),ABS(OFFSET(Choices!$B$16,0,$C$1)-Z$228)))*SIGN(OFFSET(Choices!$B$16,0,$C$1)-Z$228)</f>
        <v>5.2999999999999999E-2</v>
      </c>
      <c r="AB228" s="59">
        <f ca="1">AA$228+IF(AB$4=OFFSET(Choices!$B$10,0,$C$1),ABS(OFFSET(Choices!$B$16,0,$C$1)-AA$228)/OFFSET(Choices!$B$29,0,$C$1),MIN(ABS(AA$228-Z$228),ABS(OFFSET(Choices!$B$16,0,$C$1)-AA$228)))*SIGN(OFFSET(Choices!$B$16,0,$C$1)-AA$228)</f>
        <v>5.2999999999999999E-2</v>
      </c>
      <c r="AC228" s="59">
        <f ca="1">AB$228+IF(AC$4=OFFSET(Choices!$B$10,0,$C$1),ABS(OFFSET(Choices!$B$16,0,$C$1)-AB$228)/OFFSET(Choices!$B$29,0,$C$1),MIN(ABS(AB$228-AA$228),ABS(OFFSET(Choices!$B$16,0,$C$1)-AB$228)))*SIGN(OFFSET(Choices!$B$16,0,$C$1)-AB$228)</f>
        <v>5.2999999999999999E-2</v>
      </c>
    </row>
    <row r="229" spans="1:29" x14ac:dyDescent="0.2">
      <c r="A229" s="66" t="s">
        <v>785</v>
      </c>
      <c r="F229" s="62"/>
      <c r="G229" s="79">
        <f t="shared" ref="G229:S229" si="141">G$227/AVERAGE(F$84,G$84)</f>
        <v>7.0470866284883207E-2</v>
      </c>
      <c r="H229" s="79">
        <f t="shared" si="141"/>
        <v>5.6818707605748489E-2</v>
      </c>
      <c r="I229" s="79">
        <f t="shared" si="141"/>
        <v>4.2176085536807247E-2</v>
      </c>
      <c r="J229" s="79">
        <f t="shared" si="141"/>
        <v>4.4956181474952804E-2</v>
      </c>
      <c r="K229" s="79">
        <f t="shared" si="141"/>
        <v>4.4973503373012758E-2</v>
      </c>
      <c r="L229" s="79">
        <f t="shared" si="141"/>
        <v>4.3445102955323722E-2</v>
      </c>
      <c r="M229" s="79">
        <f t="shared" si="141"/>
        <v>4.324196829577507E-2</v>
      </c>
      <c r="N229" s="79">
        <f t="shared" si="141"/>
        <v>4.2250195602757418E-2</v>
      </c>
      <c r="O229" s="80">
        <f t="shared" si="141"/>
        <v>3.8517834428200531E-2</v>
      </c>
      <c r="P229" s="80">
        <f t="shared" si="141"/>
        <v>3.9615004490520696E-2</v>
      </c>
      <c r="Q229" s="80">
        <f t="shared" si="141"/>
        <v>4.0275590707341546E-2</v>
      </c>
      <c r="R229" s="80">
        <f t="shared" si="141"/>
        <v>4.2321231016795739E-2</v>
      </c>
      <c r="S229" s="80">
        <f t="shared" si="141"/>
        <v>4.3441938178780282E-2</v>
      </c>
      <c r="T229" s="59">
        <f ca="1">S$229+IF(T$4=OFFSET(Choices!$B$10,0,$C$1),ABS(OFFSET(Choices!$B$16,0,$C$1)-S$229)/OFFSET(Choices!$B$29,0,$C$1),MIN(ABS(S$229-R$229),ABS(OFFSET(Choices!$B$16,0,$C$1)-S$229)))*SIGN(OFFSET(Choices!$B$16,0,$C$1)-S$229)</f>
        <v>4.4807375581811672E-2</v>
      </c>
      <c r="U229" s="59">
        <f ca="1">T$229+IF(U$4=OFFSET(Choices!$B$10,0,$C$1),ABS(OFFSET(Choices!$B$16,0,$C$1)-T$229)/OFFSET(Choices!$B$29,0,$C$1),MIN(ABS(T$229-S$229),ABS(OFFSET(Choices!$B$16,0,$C$1)-T$229)))*SIGN(OFFSET(Choices!$B$16,0,$C$1)-T$229)</f>
        <v>4.6172812984843062E-2</v>
      </c>
      <c r="V229" s="59">
        <f ca="1">U$229+IF(V$4=OFFSET(Choices!$B$10,0,$C$1),ABS(OFFSET(Choices!$B$16,0,$C$1)-U$229)/OFFSET(Choices!$B$29,0,$C$1),MIN(ABS(U$229-T$229),ABS(OFFSET(Choices!$B$16,0,$C$1)-U$229)))*SIGN(OFFSET(Choices!$B$16,0,$C$1)-U$229)</f>
        <v>4.7538250387874452E-2</v>
      </c>
      <c r="W229" s="59">
        <f ca="1">V$229+IF(W$4=OFFSET(Choices!$B$10,0,$C$1),ABS(OFFSET(Choices!$B$16,0,$C$1)-V$229)/OFFSET(Choices!$B$29,0,$C$1),MIN(ABS(V$229-U$229),ABS(OFFSET(Choices!$B$16,0,$C$1)-V$229)))*SIGN(OFFSET(Choices!$B$16,0,$C$1)-V$229)</f>
        <v>4.8903687790905842E-2</v>
      </c>
      <c r="X229" s="59">
        <f ca="1">W$229+IF(X$4=OFFSET(Choices!$B$10,0,$C$1),ABS(OFFSET(Choices!$B$16,0,$C$1)-W$229)/OFFSET(Choices!$B$29,0,$C$1),MIN(ABS(W$229-V$229),ABS(OFFSET(Choices!$B$16,0,$C$1)-W$229)))*SIGN(OFFSET(Choices!$B$16,0,$C$1)-W$229)</f>
        <v>5.0269125193937232E-2</v>
      </c>
      <c r="Y229" s="59">
        <f ca="1">X$229+IF(Y$4=OFFSET(Choices!$B$10,0,$C$1),ABS(OFFSET(Choices!$B$16,0,$C$1)-X$229)/OFFSET(Choices!$B$29,0,$C$1),MIN(ABS(X$229-W$229),ABS(OFFSET(Choices!$B$16,0,$C$1)-X$229)))*SIGN(OFFSET(Choices!$B$16,0,$C$1)-X$229)</f>
        <v>5.1634562596968622E-2</v>
      </c>
      <c r="Z229" s="59">
        <f ca="1">Y$229+IF(Z$4=OFFSET(Choices!$B$10,0,$C$1),ABS(OFFSET(Choices!$B$16,0,$C$1)-Y$229)/OFFSET(Choices!$B$29,0,$C$1),MIN(ABS(Y$229-X$229),ABS(OFFSET(Choices!$B$16,0,$C$1)-Y$229)))*SIGN(OFFSET(Choices!$B$16,0,$C$1)-Y$229)</f>
        <v>5.2999999999999999E-2</v>
      </c>
      <c r="AA229" s="59">
        <f ca="1">Z$229+IF(AA$4=OFFSET(Choices!$B$10,0,$C$1),ABS(OFFSET(Choices!$B$16,0,$C$1)-Z$229)/OFFSET(Choices!$B$29,0,$C$1),MIN(ABS(Z$229-Y$229),ABS(OFFSET(Choices!$B$16,0,$C$1)-Z$229)))*SIGN(OFFSET(Choices!$B$16,0,$C$1)-Z$229)</f>
        <v>5.2999999999999999E-2</v>
      </c>
      <c r="AB229" s="59">
        <f ca="1">AA$229+IF(AB$4=OFFSET(Choices!$B$10,0,$C$1),ABS(OFFSET(Choices!$B$16,0,$C$1)-AA$229)/OFFSET(Choices!$B$29,0,$C$1),MIN(ABS(AA$229-Z$229),ABS(OFFSET(Choices!$B$16,0,$C$1)-AA$229)))*SIGN(OFFSET(Choices!$B$16,0,$C$1)-AA$229)</f>
        <v>5.2999999999999999E-2</v>
      </c>
      <c r="AC229" s="59">
        <f ca="1">AB$229+IF(AC$4=OFFSET(Choices!$B$10,0,$C$1),ABS(OFFSET(Choices!$B$16,0,$C$1)-AB$229)/OFFSET(Choices!$B$29,0,$C$1),MIN(ABS(AB$229-AA$229),ABS(OFFSET(Choices!$B$16,0,$C$1)-AB$229)))*SIGN(OFFSET(Choices!$B$16,0,$C$1)-AB$229)</f>
        <v>5.2999999999999999E-2</v>
      </c>
    </row>
    <row r="231" spans="1:29" x14ac:dyDescent="0.2">
      <c r="A231" s="31" t="s">
        <v>234</v>
      </c>
    </row>
    <row r="232" spans="1:29" x14ac:dyDescent="0.2">
      <c r="A232" s="3" t="s">
        <v>412</v>
      </c>
      <c r="B232" s="4" t="str">
        <f>$B$46</f>
        <v>From Fiscal Forecasts</v>
      </c>
      <c r="F232" s="21">
        <f>'Fiscal Forecasts'!F$169</f>
        <v>1.7999999999999999E-2</v>
      </c>
      <c r="G232" s="21">
        <f>'Fiscal Forecasts'!G$169</f>
        <v>0.01</v>
      </c>
      <c r="H232" s="21">
        <f>'Fiscal Forecasts'!H$169</f>
        <v>3.2000000000000001E-2</v>
      </c>
      <c r="I232" s="21">
        <f>'Fiscal Forecasts'!I$169</f>
        <v>0.02</v>
      </c>
      <c r="J232" s="21">
        <f>'Fiscal Forecasts'!J$169</f>
        <v>2.1999999999999999E-2</v>
      </c>
      <c r="K232" s="21">
        <f>'Fiscal Forecasts'!K$169</f>
        <v>3.0000000000000001E-3</v>
      </c>
      <c r="L232" s="21">
        <f>'Fiscal Forecasts'!L$169</f>
        <v>1E-3</v>
      </c>
      <c r="M232" s="21">
        <f>'Fiscal Forecasts'!M$169</f>
        <v>0</v>
      </c>
      <c r="N232" s="21">
        <f>'Fiscal Forecasts'!N$169</f>
        <v>6.0000000000000001E-3</v>
      </c>
      <c r="O232" s="24">
        <f>'Fiscal Forecasts'!O$169</f>
        <v>2E-3</v>
      </c>
      <c r="P232" s="24">
        <f>'Fiscal Forecasts'!P$169</f>
        <v>8.0000000000000002E-3</v>
      </c>
      <c r="Q232" s="24">
        <f>'Fiscal Forecasts'!Q$169</f>
        <v>8.9999999999999993E-3</v>
      </c>
      <c r="R232" s="24">
        <f>'Fiscal Forecasts'!R$169</f>
        <v>6.0000000000000001E-3</v>
      </c>
      <c r="S232" s="24">
        <f>'Fiscal Forecasts'!S$169</f>
        <v>8.0000000000000002E-3</v>
      </c>
      <c r="T232" s="26">
        <f ca="1">IF(T$4=OFFSET(Choices!$B$10,0,$C$1),0,S$232)</f>
        <v>0</v>
      </c>
      <c r="U232" s="26">
        <f ca="1">IF(U$4=OFFSET(Choices!$B$10,0,$C$1),0,T$232)</f>
        <v>0</v>
      </c>
      <c r="V232" s="26">
        <f ca="1">IF(V$4=OFFSET(Choices!$B$10,0,$C$1),0,U$232)</f>
        <v>0</v>
      </c>
      <c r="W232" s="26">
        <f ca="1">IF(W$4=OFFSET(Choices!$B$10,0,$C$1),0,V$232)</f>
        <v>0</v>
      </c>
      <c r="X232" s="26">
        <f ca="1">IF(X$4=OFFSET(Choices!$B$10,0,$C$1),0,W$232)</f>
        <v>0</v>
      </c>
      <c r="Y232" s="26">
        <f ca="1">IF(Y$4=OFFSET(Choices!$B$10,0,$C$1),0,X$232)</f>
        <v>0</v>
      </c>
      <c r="Z232" s="26">
        <f ca="1">IF(Z$4=OFFSET(Choices!$B$10,0,$C$1),0,Y$232)</f>
        <v>0</v>
      </c>
      <c r="AA232" s="26">
        <f ca="1">IF(AA$4=OFFSET(Choices!$B$10,0,$C$1),0,Z$232)</f>
        <v>0</v>
      </c>
      <c r="AB232" s="26">
        <f ca="1">IF(AB$4=OFFSET(Choices!$B$10,0,$C$1),0,AA$232)</f>
        <v>0</v>
      </c>
      <c r="AC232" s="26">
        <f ca="1">IF(AC$4=OFFSET(Choices!$B$10,0,$C$1),0,AB$232)</f>
        <v>0</v>
      </c>
    </row>
    <row r="233" spans="1:29" x14ac:dyDescent="0.2">
      <c r="A233" s="3" t="s">
        <v>413</v>
      </c>
      <c r="B233" s="4" t="str">
        <f>$B$46</f>
        <v>From Fiscal Forecasts</v>
      </c>
      <c r="F233" s="21">
        <f>'Fiscal Forecasts'!F$170</f>
        <v>2.9569999999999999</v>
      </c>
      <c r="G233" s="21">
        <f>'Fiscal Forecasts'!G$170</f>
        <v>3.5529999999999999</v>
      </c>
      <c r="H233" s="21">
        <f>'Fiscal Forecasts'!H$170</f>
        <v>3.85</v>
      </c>
      <c r="I233" s="21">
        <f>'Fiscal Forecasts'!I$170</f>
        <v>2.9860000000000002</v>
      </c>
      <c r="J233" s="21">
        <f>'Fiscal Forecasts'!J$170</f>
        <v>14.906000000000001</v>
      </c>
      <c r="K233" s="21">
        <f>'Fiscal Forecasts'!K$170</f>
        <v>4.3230000000000004</v>
      </c>
      <c r="L233" s="21">
        <f>'Fiscal Forecasts'!L$170</f>
        <v>3.0110000000000001</v>
      </c>
      <c r="M233" s="21">
        <f>'Fiscal Forecasts'!M$170</f>
        <v>3.464</v>
      </c>
      <c r="N233" s="21">
        <f>'Fiscal Forecasts'!N$170</f>
        <v>4.085</v>
      </c>
      <c r="O233" s="24">
        <f>'Fiscal Forecasts'!O$170</f>
        <v>3.9889999999999999</v>
      </c>
      <c r="P233" s="24">
        <f>'Fiscal Forecasts'!P$170</f>
        <v>4.1029999999999998</v>
      </c>
      <c r="Q233" s="24">
        <f>'Fiscal Forecasts'!Q$170</f>
        <v>4.3959999999999999</v>
      </c>
      <c r="R233" s="24">
        <f>'Fiscal Forecasts'!R$170</f>
        <v>4.742</v>
      </c>
      <c r="S233" s="24">
        <f>'Fiscal Forecasts'!S$170</f>
        <v>4.9580000000000002</v>
      </c>
      <c r="T233" s="26">
        <f ca="1">IF(T$4=OFFSET(Choices!$B$10,0,$C$1),AVERAGE(Q$233/SUM(Q$233,Q$234),R$233/SUM(R$233,R$234),S$233/SUM(S$233,S$234)),S$233/SUM(S$233,S$234))*SUM(T$237:T$239)</f>
        <v>5.1665588611358428</v>
      </c>
      <c r="U233" s="26">
        <f ca="1">IF(U$4=OFFSET(Choices!$B$10,0,$C$1),AVERAGE(R$233/SUM(R$233,R$234),S$233/SUM(S$233,S$234),T$233/SUM(T$233,T$234)),T$233/SUM(T$233,T$234))*SUM(U$237:U$239)</f>
        <v>5.4072205122739501</v>
      </c>
      <c r="V233" s="26">
        <f ca="1">IF(V$4=OFFSET(Choices!$B$10,0,$C$1),AVERAGE(S$233/SUM(S$233,S$234),T$233/SUM(T$233,T$234),U$233/SUM(U$233,U$234)),U$233/SUM(U$233,U$234))*SUM(V$237:V$239)</f>
        <v>5.6534167746965176</v>
      </c>
      <c r="W233" s="26">
        <f ca="1">IF(W$4=OFFSET(Choices!$B$10,0,$C$1),AVERAGE(T$233/SUM(T$233,T$234),U$233/SUM(U$233,U$234),V$233/SUM(V$233,V$234)),V$233/SUM(V$233,V$234))*SUM(W$237:W$239)</f>
        <v>5.923092230888872</v>
      </c>
      <c r="X233" s="26">
        <f ca="1">IF(X$4=OFFSET(Choices!$B$10,0,$C$1),AVERAGE(U$233/SUM(U$233,U$234),V$233/SUM(V$233,V$234),W$233/SUM(W$233,W$234)),W$233/SUM(W$233,W$234))*SUM(X$237:X$239)</f>
        <v>6.1713384888744987</v>
      </c>
      <c r="Y233" s="26">
        <f ca="1">IF(Y$4=OFFSET(Choices!$B$10,0,$C$1),AVERAGE(V$233/SUM(V$233,V$234),W$233/SUM(W$233,W$234),X$233/SUM(X$233,X$234)),X$233/SUM(X$233,X$234))*SUM(Y$237:Y$239)</f>
        <v>6.4309688258648636</v>
      </c>
      <c r="Z233" s="26">
        <f ca="1">IF(Z$4=OFFSET(Choices!$B$10,0,$C$1),AVERAGE(W$233/SUM(W$233,W$234),X$233/SUM(X$233,X$234),Y$233/SUM(Y$233,Y$234)),Y$233/SUM(Y$233,Y$234))*SUM(Z$237:Z$239)</f>
        <v>6.6851535684987455</v>
      </c>
      <c r="AA233" s="26">
        <f ca="1">IF(AA$4=OFFSET(Choices!$B$10,0,$C$1),AVERAGE(X$233/SUM(X$233,X$234),Y$233/SUM(Y$233,Y$234),Z$233/SUM(Z$233,Z$234)),Z$233/SUM(Z$233,Z$234))*SUM(AA$237:AA$239)</f>
        <v>6.9470209938951628</v>
      </c>
      <c r="AB233" s="26">
        <f ca="1">IF(AB$4=OFFSET(Choices!$B$10,0,$C$1),AVERAGE(Y$233/SUM(Y$233,Y$234),Z$233/SUM(Z$233,Z$234),AA$233/SUM(AA$233,AA$234)),AA$233/SUM(AA$233,AA$234))*SUM(AB$237:AB$239)</f>
        <v>7.2168465853883426</v>
      </c>
      <c r="AC233" s="26">
        <f ca="1">IF(AC$4=OFFSET(Choices!$B$10,0,$C$1),AVERAGE(Z$233/SUM(Z$233,Z$234),AA$233/SUM(AA$233,AA$234),AB$233/SUM(AB$233,AB$234)),AB$233/SUM(AB$233,AB$234))*SUM(AC$237:AC$239)</f>
        <v>7.495026338565502</v>
      </c>
    </row>
    <row r="234" spans="1:29" x14ac:dyDescent="0.2">
      <c r="A234" s="3" t="s">
        <v>414</v>
      </c>
      <c r="B234" s="4" t="str">
        <f>$B$46</f>
        <v>From Fiscal Forecasts</v>
      </c>
      <c r="F234" s="21">
        <f>'Fiscal Forecasts'!F$171</f>
        <v>0</v>
      </c>
      <c r="G234" s="21">
        <f>'Fiscal Forecasts'!G$171</f>
        <v>0</v>
      </c>
      <c r="H234" s="21">
        <f>'Fiscal Forecasts'!H$171</f>
        <v>0</v>
      </c>
      <c r="I234" s="21">
        <f>'Fiscal Forecasts'!I$171</f>
        <v>0</v>
      </c>
      <c r="J234" s="21">
        <f>'Fiscal Forecasts'!J$171</f>
        <v>0</v>
      </c>
      <c r="K234" s="21">
        <f>'Fiscal Forecasts'!K$171</f>
        <v>0.36299999999999999</v>
      </c>
      <c r="L234" s="21">
        <f>'Fiscal Forecasts'!L$171</f>
        <v>1.4999999999999999E-2</v>
      </c>
      <c r="M234" s="21">
        <f>'Fiscal Forecasts'!M$171</f>
        <v>1.4E-2</v>
      </c>
      <c r="N234" s="21">
        <f>'Fiscal Forecasts'!N$171</f>
        <v>1.0999999999999999E-2</v>
      </c>
      <c r="O234" s="24">
        <f>'Fiscal Forecasts'!O$171</f>
        <v>8.0000000000000002E-3</v>
      </c>
      <c r="P234" s="24">
        <f>'Fiscal Forecasts'!P$171</f>
        <v>8.0000000000000002E-3</v>
      </c>
      <c r="Q234" s="24">
        <f>'Fiscal Forecasts'!Q$171</f>
        <v>8.0000000000000002E-3</v>
      </c>
      <c r="R234" s="24">
        <f>'Fiscal Forecasts'!R$171</f>
        <v>8.0000000000000002E-3</v>
      </c>
      <c r="S234" s="24">
        <f>'Fiscal Forecasts'!S$171</f>
        <v>8.0000000000000002E-3</v>
      </c>
      <c r="T234" s="26">
        <f t="shared" ref="T234:AC234" ca="1" si="142">SUM(T$237:T$239)-T$233</f>
        <v>8.8183173142324378E-3</v>
      </c>
      <c r="U234" s="26">
        <f t="shared" ca="1" si="142"/>
        <v>9.2290802344168199E-3</v>
      </c>
      <c r="V234" s="26">
        <f t="shared" ca="1" si="142"/>
        <v>9.6492896662594418E-3</v>
      </c>
      <c r="W234" s="26">
        <f t="shared" ca="1" si="142"/>
        <v>1.0109573543494399E-2</v>
      </c>
      <c r="X234" s="26">
        <f t="shared" ca="1" si="142"/>
        <v>1.0533281921512483E-2</v>
      </c>
      <c r="Y234" s="26">
        <f t="shared" ca="1" si="142"/>
        <v>1.0976420721924285E-2</v>
      </c>
      <c r="Z234" s="26">
        <f t="shared" ca="1" si="142"/>
        <v>1.1410264945367565E-2</v>
      </c>
      <c r="AA234" s="26">
        <f t="shared" ca="1" si="142"/>
        <v>1.1857222023274439E-2</v>
      </c>
      <c r="AB234" s="26">
        <f t="shared" ca="1" si="142"/>
        <v>1.2317762152447287E-2</v>
      </c>
      <c r="AC234" s="26">
        <f t="shared" ca="1" si="142"/>
        <v>1.2792561220810406E-2</v>
      </c>
    </row>
    <row r="235" spans="1:29" x14ac:dyDescent="0.2">
      <c r="A235" s="3" t="s">
        <v>415</v>
      </c>
      <c r="B235" s="4" t="str">
        <f>$B$46</f>
        <v>From Fiscal Forecasts</v>
      </c>
      <c r="F235" s="21">
        <f>'Fiscal Forecasts'!F$20-SUM(F$232:F$234)</f>
        <v>0</v>
      </c>
      <c r="G235" s="21">
        <f>'Fiscal Forecasts'!G$20-SUM(G$232:G$234)</f>
        <v>0</v>
      </c>
      <c r="H235" s="21">
        <f>'Fiscal Forecasts'!H$20-SUM(H$232:H$234)</f>
        <v>0</v>
      </c>
      <c r="I235" s="21">
        <f>'Fiscal Forecasts'!I$20-SUM(I$232:I$234)</f>
        <v>0</v>
      </c>
      <c r="J235" s="21">
        <f>'Fiscal Forecasts'!J$20-SUM(J$232:J$234)</f>
        <v>-0.3360000000000003</v>
      </c>
      <c r="K235" s="21">
        <f>'Fiscal Forecasts'!K$20-SUM(K$232:K$234)</f>
        <v>-0.11300000000000043</v>
      </c>
      <c r="L235" s="21">
        <f>'Fiscal Forecasts'!L$20-SUM(L$232:L$234)</f>
        <v>4.0000000000000036E-3</v>
      </c>
      <c r="M235" s="21">
        <f>'Fiscal Forecasts'!M$20-SUM(M$232:M$234)</f>
        <v>2.3000000000000131E-2</v>
      </c>
      <c r="N235" s="21">
        <f>'Fiscal Forecasts'!N$20-SUM(N$232:N$234)</f>
        <v>8.0000000000000071E-3</v>
      </c>
      <c r="O235" s="24">
        <f>'Fiscal Forecasts'!O$20-SUM(O$232:O$234)</f>
        <v>-1.9999999999997797E-3</v>
      </c>
      <c r="P235" s="24">
        <f>'Fiscal Forecasts'!P$20-SUM(P$232:P$234)</f>
        <v>-6.9999999999996732E-3</v>
      </c>
      <c r="Q235" s="24">
        <f>'Fiscal Forecasts'!Q$20-SUM(Q$232:Q$234)</f>
        <v>-8.0000000000000071E-3</v>
      </c>
      <c r="R235" s="24">
        <f>'Fiscal Forecasts'!R$20-SUM(R$232:R$234)</f>
        <v>-4.9999999999998934E-3</v>
      </c>
      <c r="S235" s="24">
        <f>'Fiscal Forecasts'!S$20-SUM(S$232:S$234)</f>
        <v>-8.0000000000000071E-3</v>
      </c>
      <c r="T235" s="26">
        <f ca="1">IF(T$4=OFFSET(Choices!$B$10,0,$C$1),0,S$235)</f>
        <v>0</v>
      </c>
      <c r="U235" s="26">
        <f ca="1">IF(U$4=OFFSET(Choices!$B$10,0,$C$1),0,T$235)</f>
        <v>0</v>
      </c>
      <c r="V235" s="26">
        <f ca="1">IF(V$4=OFFSET(Choices!$B$10,0,$C$1),0,U$235)</f>
        <v>0</v>
      </c>
      <c r="W235" s="26">
        <f ca="1">IF(W$4=OFFSET(Choices!$B$10,0,$C$1),0,V$235)</f>
        <v>0</v>
      </c>
      <c r="X235" s="26">
        <f ca="1">IF(X$4=OFFSET(Choices!$B$10,0,$C$1),0,W$235)</f>
        <v>0</v>
      </c>
      <c r="Y235" s="26">
        <f ca="1">IF(Y$4=OFFSET(Choices!$B$10,0,$C$1),0,X$235)</f>
        <v>0</v>
      </c>
      <c r="Z235" s="26">
        <f ca="1">IF(Z$4=OFFSET(Choices!$B$10,0,$C$1),0,Y$235)</f>
        <v>0</v>
      </c>
      <c r="AA235" s="26">
        <f ca="1">IF(AA$4=OFFSET(Choices!$B$10,0,$C$1),0,Z$235)</f>
        <v>0</v>
      </c>
      <c r="AB235" s="26">
        <f ca="1">IF(AB$4=OFFSET(Choices!$B$10,0,$C$1),0,AA$235)</f>
        <v>0</v>
      </c>
      <c r="AC235" s="26">
        <f ca="1">IF(AC$4=OFFSET(Choices!$B$10,0,$C$1),0,AB$235)</f>
        <v>0</v>
      </c>
    </row>
    <row r="236" spans="1:29" x14ac:dyDescent="0.2">
      <c r="A236" s="31" t="s">
        <v>489</v>
      </c>
      <c r="F236" s="56">
        <f>SUM(F$232:F$235)</f>
        <v>2.9749999999999996</v>
      </c>
      <c r="G236" s="56">
        <f t="shared" ref="G236:AC236" si="143">SUM(G$232:G$235)</f>
        <v>3.5629999999999997</v>
      </c>
      <c r="H236" s="56">
        <f t="shared" si="143"/>
        <v>3.8820000000000001</v>
      </c>
      <c r="I236" s="56">
        <f t="shared" si="143"/>
        <v>3.0060000000000002</v>
      </c>
      <c r="J236" s="56">
        <f t="shared" si="143"/>
        <v>14.592000000000001</v>
      </c>
      <c r="K236" s="56">
        <f t="shared" si="143"/>
        <v>4.5759999999999996</v>
      </c>
      <c r="L236" s="56">
        <f t="shared" si="143"/>
        <v>3.0310000000000001</v>
      </c>
      <c r="M236" s="56">
        <f t="shared" si="143"/>
        <v>3.5009999999999999</v>
      </c>
      <c r="N236" s="56">
        <f t="shared" si="143"/>
        <v>4.1100000000000003</v>
      </c>
      <c r="O236" s="57">
        <f t="shared" si="143"/>
        <v>3.9969999999999999</v>
      </c>
      <c r="P236" s="57">
        <f t="shared" si="143"/>
        <v>4.1120000000000001</v>
      </c>
      <c r="Q236" s="57">
        <f t="shared" si="143"/>
        <v>4.4050000000000002</v>
      </c>
      <c r="R236" s="57">
        <f t="shared" si="143"/>
        <v>4.7510000000000003</v>
      </c>
      <c r="S236" s="57">
        <f t="shared" si="143"/>
        <v>4.9660000000000002</v>
      </c>
      <c r="T236" s="58">
        <f t="shared" ca="1" si="143"/>
        <v>5.1753771784500753</v>
      </c>
      <c r="U236" s="58">
        <f t="shared" ca="1" si="143"/>
        <v>5.4164495925083669</v>
      </c>
      <c r="V236" s="58">
        <f t="shared" ca="1" si="143"/>
        <v>5.663066064362777</v>
      </c>
      <c r="W236" s="58">
        <f t="shared" ca="1" si="143"/>
        <v>5.9332018044323664</v>
      </c>
      <c r="X236" s="58">
        <f t="shared" ca="1" si="143"/>
        <v>6.1818717707960111</v>
      </c>
      <c r="Y236" s="58">
        <f t="shared" ca="1" si="143"/>
        <v>6.4419452465867879</v>
      </c>
      <c r="Z236" s="58">
        <f t="shared" ca="1" si="143"/>
        <v>6.6965638334441131</v>
      </c>
      <c r="AA236" s="58">
        <f t="shared" ca="1" si="143"/>
        <v>6.9588782159184372</v>
      </c>
      <c r="AB236" s="58">
        <f t="shared" ca="1" si="143"/>
        <v>7.2291643475407898</v>
      </c>
      <c r="AC236" s="58">
        <f t="shared" ca="1" si="143"/>
        <v>7.5078188997863124</v>
      </c>
    </row>
    <row r="237" spans="1:29" x14ac:dyDescent="0.2">
      <c r="A237" s="3" t="s">
        <v>482</v>
      </c>
      <c r="B237" s="4" t="str">
        <f>$B$46</f>
        <v>From Fiscal Forecasts</v>
      </c>
      <c r="F237" s="21">
        <f>'Fiscal Forecasts'!F$263</f>
        <v>2.88</v>
      </c>
      <c r="G237" s="21">
        <f>'Fiscal Forecasts'!G$263</f>
        <v>3.423</v>
      </c>
      <c r="H237" s="21">
        <f>'Fiscal Forecasts'!H$263</f>
        <v>3.762</v>
      </c>
      <c r="I237" s="21">
        <f>'Fiscal Forecasts'!I$263</f>
        <v>2.9220000000000002</v>
      </c>
      <c r="J237" s="21">
        <f>'Fiscal Forecasts'!J$263</f>
        <v>2.9790000000000001</v>
      </c>
      <c r="K237" s="21">
        <f>'Fiscal Forecasts'!K$263</f>
        <v>3.01</v>
      </c>
      <c r="L237" s="21">
        <f>'Fiscal Forecasts'!L$263</f>
        <v>3.133</v>
      </c>
      <c r="M237" s="21">
        <f>'Fiscal Forecasts'!M$263</f>
        <v>3.484</v>
      </c>
      <c r="N237" s="21">
        <f>'Fiscal Forecasts'!N$263</f>
        <v>4.1040000000000001</v>
      </c>
      <c r="O237" s="24">
        <f>'Fiscal Forecasts'!O$263</f>
        <v>3.97</v>
      </c>
      <c r="P237" s="24">
        <f>'Fiscal Forecasts'!P$263</f>
        <v>4.0919999999999996</v>
      </c>
      <c r="Q237" s="24">
        <f>'Fiscal Forecasts'!Q$263</f>
        <v>4.2430000000000003</v>
      </c>
      <c r="R237" s="24">
        <f>'Fiscal Forecasts'!R$263</f>
        <v>4.5430000000000001</v>
      </c>
      <c r="S237" s="24">
        <f>'Fiscal Forecasts'!S$263</f>
        <v>4.7539999999999996</v>
      </c>
      <c r="T237" s="26">
        <f>S$237*Tracks!T$31/Tracks!S$31</f>
        <v>4.966494647973188</v>
      </c>
      <c r="U237" s="26">
        <f>T$237*Tracks!U$31/Tracks!T$31</f>
        <v>5.1983071759730226</v>
      </c>
      <c r="V237" s="26">
        <f>U$237*Tracks!V$31/Tracks!U$31</f>
        <v>5.4351311435526988</v>
      </c>
      <c r="W237" s="26">
        <f>V$237*Tracks!W$31/Tracks!V$31</f>
        <v>5.6951103683274198</v>
      </c>
      <c r="X237" s="26">
        <f>W$237*Tracks!X$31/Tracks!W$31</f>
        <v>5.9332049443782635</v>
      </c>
      <c r="Y237" s="26">
        <f>X$237*Tracks!Y$31/Tracks!X$31</f>
        <v>6.1823611118730755</v>
      </c>
      <c r="Z237" s="26">
        <f>Y$237*Tracks!Z$31/Tracks!Y$31</f>
        <v>6.4257427042929987</v>
      </c>
      <c r="AA237" s="26">
        <f>Z$237*Tracks!AA$31/Tracks!Z$31</f>
        <v>6.6764925003526825</v>
      </c>
      <c r="AB237" s="26">
        <f>AA$237*Tracks!AB$31/Tracks!AA$31</f>
        <v>6.9349311105537152</v>
      </c>
      <c r="AC237" s="26">
        <f>AB$237*Tracks!AC$31/Tracks!AB$31</f>
        <v>7.2013934604927892</v>
      </c>
    </row>
    <row r="238" spans="1:29" x14ac:dyDescent="0.2">
      <c r="A238" s="3" t="s">
        <v>483</v>
      </c>
      <c r="B238" s="4" t="str">
        <f>$B$46</f>
        <v>From Fiscal Forecasts</v>
      </c>
      <c r="F238" s="21">
        <f>'Fiscal Forecasts'!F$264</f>
        <v>7.6999999999999999E-2</v>
      </c>
      <c r="G238" s="21">
        <f>'Fiscal Forecasts'!G$264</f>
        <v>0.13</v>
      </c>
      <c r="H238" s="21">
        <f>'Fiscal Forecasts'!H$264</f>
        <v>8.7999999999999995E-2</v>
      </c>
      <c r="I238" s="21">
        <f>'Fiscal Forecasts'!I$264</f>
        <v>6.4000000000000001E-2</v>
      </c>
      <c r="J238" s="21">
        <f>'Fiscal Forecasts'!J$264</f>
        <v>11.776</v>
      </c>
      <c r="K238" s="21">
        <f>'Fiscal Forecasts'!K$264</f>
        <v>1.073</v>
      </c>
      <c r="L238" s="21">
        <f>'Fiscal Forecasts'!L$264</f>
        <v>-0.10299999999999999</v>
      </c>
      <c r="M238" s="21">
        <f>'Fiscal Forecasts'!M$264</f>
        <v>-0.111</v>
      </c>
      <c r="N238" s="21">
        <f>'Fiscal Forecasts'!N$264</f>
        <v>-0.35699999999999998</v>
      </c>
      <c r="O238" s="24">
        <f>'Fiscal Forecasts'!O$264</f>
        <v>0.05</v>
      </c>
      <c r="P238" s="24">
        <f>'Fiscal Forecasts'!P$264</f>
        <v>5.2999999999999999E-2</v>
      </c>
      <c r="Q238" s="24">
        <f>'Fiscal Forecasts'!Q$264</f>
        <v>0.17199999999999999</v>
      </c>
      <c r="R238" s="24">
        <f>'Fiscal Forecasts'!R$264</f>
        <v>0.20100000000000001</v>
      </c>
      <c r="S238" s="24">
        <f>'Fiscal Forecasts'!S$264</f>
        <v>0.2</v>
      </c>
      <c r="T238" s="26">
        <f t="shared" ref="T238:AC238" ca="1" si="144">S$238*T$11/S$11</f>
        <v>0.20888253047688751</v>
      </c>
      <c r="U238" s="26">
        <f t="shared" ca="1" si="144"/>
        <v>0.21814241653534455</v>
      </c>
      <c r="V238" s="26">
        <f t="shared" ca="1" si="144"/>
        <v>0.22793492081007871</v>
      </c>
      <c r="W238" s="26">
        <f t="shared" ca="1" si="144"/>
        <v>0.23809143610494651</v>
      </c>
      <c r="X238" s="26">
        <f t="shared" ca="1" si="144"/>
        <v>0.24866682641774721</v>
      </c>
      <c r="Y238" s="26">
        <f t="shared" ca="1" si="144"/>
        <v>0.25958413471371256</v>
      </c>
      <c r="Z238" s="26">
        <f t="shared" ca="1" si="144"/>
        <v>0.27082112915111423</v>
      </c>
      <c r="AA238" s="26">
        <f t="shared" ca="1" si="144"/>
        <v>0.2823857155657552</v>
      </c>
      <c r="AB238" s="26">
        <f t="shared" ca="1" si="144"/>
        <v>0.29423323698707476</v>
      </c>
      <c r="AC238" s="26">
        <f t="shared" ca="1" si="144"/>
        <v>0.30642543929352328</v>
      </c>
    </row>
    <row r="239" spans="1:29" x14ac:dyDescent="0.2">
      <c r="A239" s="3" t="s">
        <v>488</v>
      </c>
      <c r="B239" s="4"/>
      <c r="F239" s="21">
        <f>F$236-SUM(F$237:F$238)</f>
        <v>1.7999999999999794E-2</v>
      </c>
      <c r="G239" s="21">
        <f>G$236-SUM(G$237:G$238)</f>
        <v>9.9999999999997868E-3</v>
      </c>
      <c r="H239" s="21">
        <f t="shared" ref="H239:S239" si="145">H$236-SUM(H$237:H$238)</f>
        <v>3.2000000000000028E-2</v>
      </c>
      <c r="I239" s="21">
        <f t="shared" si="145"/>
        <v>2.0000000000000018E-2</v>
      </c>
      <c r="J239" s="21">
        <f t="shared" si="145"/>
        <v>-0.16299999999999848</v>
      </c>
      <c r="K239" s="21">
        <f t="shared" si="145"/>
        <v>0.49299999999999944</v>
      </c>
      <c r="L239" s="21">
        <f t="shared" si="145"/>
        <v>1.000000000000334E-3</v>
      </c>
      <c r="M239" s="21">
        <f t="shared" si="145"/>
        <v>0.12800000000000011</v>
      </c>
      <c r="N239" s="21">
        <f t="shared" si="145"/>
        <v>0.36300000000000043</v>
      </c>
      <c r="O239" s="24">
        <f t="shared" si="145"/>
        <v>-2.3000000000000576E-2</v>
      </c>
      <c r="P239" s="24">
        <f t="shared" si="145"/>
        <v>-3.2999999999999474E-2</v>
      </c>
      <c r="Q239" s="24">
        <f t="shared" si="145"/>
        <v>-9.9999999999997868E-3</v>
      </c>
      <c r="R239" s="24">
        <f t="shared" si="145"/>
        <v>7.0000000000005613E-3</v>
      </c>
      <c r="S239" s="24">
        <f t="shared" si="145"/>
        <v>1.2000000000000455E-2</v>
      </c>
      <c r="T239" s="26">
        <f ca="1">IF(T$4=OFFSET(Choices!$B$10,0,$C$1),0,S$239)</f>
        <v>0</v>
      </c>
      <c r="U239" s="26">
        <f ca="1">IF(U$4=OFFSET(Choices!$B$10,0,$C$1),0,T$239)</f>
        <v>0</v>
      </c>
      <c r="V239" s="26">
        <f ca="1">IF(V$4=OFFSET(Choices!$B$10,0,$C$1),0,U$239)</f>
        <v>0</v>
      </c>
      <c r="W239" s="26">
        <f ca="1">IF(W$4=OFFSET(Choices!$B$10,0,$C$1),0,V$239)</f>
        <v>0</v>
      </c>
      <c r="X239" s="26">
        <f ca="1">IF(X$4=OFFSET(Choices!$B$10,0,$C$1),0,W$239)</f>
        <v>0</v>
      </c>
      <c r="Y239" s="26">
        <f ca="1">IF(Y$4=OFFSET(Choices!$B$10,0,$C$1),0,X$239)</f>
        <v>0</v>
      </c>
      <c r="Z239" s="26">
        <f ca="1">IF(Z$4=OFFSET(Choices!$B$10,0,$C$1),0,Y$239)</f>
        <v>0</v>
      </c>
      <c r="AA239" s="26">
        <f ca="1">IF(AA$4=OFFSET(Choices!$B$10,0,$C$1),0,Z$239)</f>
        <v>0</v>
      </c>
      <c r="AB239" s="26">
        <f ca="1">IF(AB$4=OFFSET(Choices!$B$10,0,$C$1),0,AA$239)</f>
        <v>0</v>
      </c>
      <c r="AC239" s="26">
        <f ca="1">IF(AC$4=OFFSET(Choices!$B$10,0,$C$1),0,AB$239)</f>
        <v>0</v>
      </c>
    </row>
    <row r="240" spans="1:29" x14ac:dyDescent="0.2">
      <c r="T240" s="26"/>
      <c r="U240" s="26"/>
      <c r="V240" s="26"/>
      <c r="W240" s="26"/>
      <c r="X240" s="26"/>
      <c r="Y240" s="26"/>
      <c r="Z240" s="26"/>
      <c r="AA240" s="26"/>
      <c r="AB240" s="26"/>
      <c r="AC240" s="26"/>
    </row>
    <row r="241" spans="1:29" x14ac:dyDescent="0.2">
      <c r="A241" s="31" t="s">
        <v>235</v>
      </c>
      <c r="B241" s="4" t="str">
        <f>$B$46</f>
        <v>From Fiscal Forecasts</v>
      </c>
      <c r="F241" s="23">
        <f>'Fiscal Forecasts'!F$21</f>
        <v>0</v>
      </c>
      <c r="G241" s="23">
        <f>'Fiscal Forecasts'!G$21</f>
        <v>0</v>
      </c>
      <c r="H241" s="23">
        <f>'Fiscal Forecasts'!H$21</f>
        <v>0</v>
      </c>
      <c r="I241" s="23">
        <f>'Fiscal Forecasts'!I$21</f>
        <v>0</v>
      </c>
      <c r="J241" s="23">
        <f>'Fiscal Forecasts'!J$21</f>
        <v>0</v>
      </c>
      <c r="K241" s="23">
        <f>'Fiscal Forecasts'!K$21</f>
        <v>0</v>
      </c>
      <c r="L241" s="23">
        <f>'Fiscal Forecasts'!L$21</f>
        <v>0</v>
      </c>
      <c r="M241" s="23">
        <f>'Fiscal Forecasts'!M$21</f>
        <v>0</v>
      </c>
      <c r="N241" s="23">
        <f>'Fiscal Forecasts'!N$21</f>
        <v>0</v>
      </c>
      <c r="O241" s="25">
        <f>'Fiscal Forecasts'!O$21</f>
        <v>0.27100000000000002</v>
      </c>
      <c r="P241" s="25">
        <f>'Fiscal Forecasts'!P$21</f>
        <v>1.123</v>
      </c>
      <c r="Q241" s="25">
        <f>'Fiscal Forecasts'!Q$21</f>
        <v>3.681</v>
      </c>
      <c r="R241" s="25">
        <f>'Fiscal Forecasts'!R$21</f>
        <v>5.3650000000000002</v>
      </c>
      <c r="S241" s="25">
        <f>'Fiscal Forecasts'!S$21</f>
        <v>6.9359999999999999</v>
      </c>
      <c r="T241" s="26">
        <f t="shared" ref="T241:AC241" ca="1" si="146">S$241+T$242</f>
        <v>8.4969999999999999</v>
      </c>
      <c r="U241" s="26">
        <f t="shared" ca="1" si="146"/>
        <v>10.089219999999999</v>
      </c>
      <c r="V241" s="26">
        <f t="shared" ca="1" si="146"/>
        <v>11.713284399999999</v>
      </c>
      <c r="W241" s="26">
        <f t="shared" ca="1" si="146"/>
        <v>13.369830087999999</v>
      </c>
      <c r="X241" s="26">
        <f t="shared" ca="1" si="146"/>
        <v>15.059506689759999</v>
      </c>
      <c r="Y241" s="26">
        <f t="shared" ca="1" si="146"/>
        <v>16.782976823555199</v>
      </c>
      <c r="Z241" s="26">
        <f t="shared" ca="1" si="146"/>
        <v>18.540916360026301</v>
      </c>
      <c r="AA241" s="26">
        <f t="shared" ca="1" si="146"/>
        <v>20.334014687226826</v>
      </c>
      <c r="AB241" s="26">
        <f t="shared" ca="1" si="146"/>
        <v>22.162974980971363</v>
      </c>
      <c r="AC241" s="26">
        <f t="shared" ca="1" si="146"/>
        <v>24.02851448059079</v>
      </c>
    </row>
    <row r="242" spans="1:29" x14ac:dyDescent="0.2">
      <c r="A242" s="3" t="s">
        <v>491</v>
      </c>
      <c r="G242" s="21">
        <f>G$241-F$241</f>
        <v>0</v>
      </c>
      <c r="H242" s="21">
        <f t="shared" ref="H242:S242" si="147">H$241-G$241</f>
        <v>0</v>
      </c>
      <c r="I242" s="21">
        <f t="shared" si="147"/>
        <v>0</v>
      </c>
      <c r="J242" s="21">
        <f t="shared" si="147"/>
        <v>0</v>
      </c>
      <c r="K242" s="21">
        <f t="shared" si="147"/>
        <v>0</v>
      </c>
      <c r="L242" s="21">
        <f t="shared" si="147"/>
        <v>0</v>
      </c>
      <c r="M242" s="21">
        <f t="shared" si="147"/>
        <v>0</v>
      </c>
      <c r="N242" s="21">
        <f t="shared" si="147"/>
        <v>0</v>
      </c>
      <c r="O242" s="24">
        <f t="shared" si="147"/>
        <v>0.27100000000000002</v>
      </c>
      <c r="P242" s="24">
        <f t="shared" si="147"/>
        <v>0.85199999999999998</v>
      </c>
      <c r="Q242" s="24">
        <f t="shared" si="147"/>
        <v>2.5579999999999998</v>
      </c>
      <c r="R242" s="24">
        <f t="shared" si="147"/>
        <v>1.6840000000000002</v>
      </c>
      <c r="S242" s="24">
        <f t="shared" si="147"/>
        <v>1.5709999999999997</v>
      </c>
      <c r="T242" s="26">
        <f ca="1">IF(T$4=OFFSET(Choices!$B$10,0,$C$1),OFFSET(Choices!$B$50,0,$C$1),S$242*(1+OFFSET(Choices!$B$52,0,$C$1)))</f>
        <v>1.5609999999999999</v>
      </c>
      <c r="U242" s="26">
        <f ca="1">IF(U$4=OFFSET(Choices!$B$10,0,$C$1),OFFSET(Choices!$B$50,0,$C$1),T$242*(1+OFFSET(Choices!$B$52,0,$C$1)))</f>
        <v>1.59222</v>
      </c>
      <c r="V242" s="26">
        <f ca="1">IF(V$4=OFFSET(Choices!$B$10,0,$C$1),OFFSET(Choices!$B$50,0,$C$1),U$242*(1+OFFSET(Choices!$B$52,0,$C$1)))</f>
        <v>1.6240644</v>
      </c>
      <c r="W242" s="26">
        <f ca="1">IF(W$4=OFFSET(Choices!$B$10,0,$C$1),OFFSET(Choices!$B$50,0,$C$1),V$242*(1+OFFSET(Choices!$B$52,0,$C$1)))</f>
        <v>1.656545688</v>
      </c>
      <c r="X242" s="26">
        <f ca="1">IF(X$4=OFFSET(Choices!$B$10,0,$C$1),OFFSET(Choices!$B$50,0,$C$1),W$242*(1+OFFSET(Choices!$B$52,0,$C$1)))</f>
        <v>1.68967660176</v>
      </c>
      <c r="Y242" s="26">
        <f ca="1">IF(Y$4=OFFSET(Choices!$B$10,0,$C$1),OFFSET(Choices!$B$50,0,$C$1),X$242*(1+OFFSET(Choices!$B$52,0,$C$1)))</f>
        <v>1.7234701337952001</v>
      </c>
      <c r="Z242" s="26">
        <f ca="1">IF(Z$4=OFFSET(Choices!$B$10,0,$C$1),OFFSET(Choices!$B$50,0,$C$1),Y$242*(1+OFFSET(Choices!$B$52,0,$C$1)))</f>
        <v>1.7579395364711041</v>
      </c>
      <c r="AA242" s="26">
        <f ca="1">IF(AA$4=OFFSET(Choices!$B$10,0,$C$1),OFFSET(Choices!$B$50,0,$C$1),Z$242*(1+OFFSET(Choices!$B$52,0,$C$1)))</f>
        <v>1.7930983272005263</v>
      </c>
      <c r="AB242" s="26">
        <f ca="1">IF(AB$4=OFFSET(Choices!$B$10,0,$C$1),OFFSET(Choices!$B$50,0,$C$1),AA$242*(1+OFFSET(Choices!$B$52,0,$C$1)))</f>
        <v>1.8289602937445368</v>
      </c>
      <c r="AC242" s="26">
        <f ca="1">IF(AC$4=OFFSET(Choices!$B$10,0,$C$1),OFFSET(Choices!$B$50,0,$C$1),AB$242*(1+OFFSET(Choices!$B$52,0,$C$1)))</f>
        <v>1.8655394996194277</v>
      </c>
    </row>
    <row r="243" spans="1:29" x14ac:dyDescent="0.2">
      <c r="A243" s="3" t="s">
        <v>236</v>
      </c>
      <c r="B243" s="4" t="str">
        <f>$B$46</f>
        <v>From Fiscal Forecasts</v>
      </c>
      <c r="F243" s="21">
        <f>'Fiscal Forecasts'!F$22</f>
        <v>0</v>
      </c>
      <c r="G243" s="21">
        <f>'Fiscal Forecasts'!G$22</f>
        <v>0</v>
      </c>
      <c r="H243" s="21">
        <f>'Fiscal Forecasts'!H$22</f>
        <v>0</v>
      </c>
      <c r="I243" s="21">
        <f>'Fiscal Forecasts'!I$22</f>
        <v>0</v>
      </c>
      <c r="J243" s="21">
        <f>'Fiscal Forecasts'!J$22</f>
        <v>0</v>
      </c>
      <c r="K243" s="21">
        <f>'Fiscal Forecasts'!K$22</f>
        <v>0</v>
      </c>
      <c r="L243" s="21">
        <f>'Fiscal Forecasts'!L$22</f>
        <v>0</v>
      </c>
      <c r="M243" s="21">
        <f>'Fiscal Forecasts'!M$22</f>
        <v>0</v>
      </c>
      <c r="N243" s="21">
        <f>'Fiscal Forecasts'!N$22</f>
        <v>0</v>
      </c>
      <c r="O243" s="24">
        <f>'Fiscal Forecasts'!O$22</f>
        <v>-1.0249999999999999</v>
      </c>
      <c r="P243" s="24">
        <f>'Fiscal Forecasts'!P$22</f>
        <v>-0.6</v>
      </c>
      <c r="Q243" s="24">
        <f>'Fiscal Forecasts'!Q$22</f>
        <v>-0.47499999999999998</v>
      </c>
      <c r="R243" s="24">
        <f>'Fiscal Forecasts'!R$22</f>
        <v>-0.45</v>
      </c>
      <c r="S243" s="24">
        <f>'Fiscal Forecasts'!S$22</f>
        <v>-0.5</v>
      </c>
      <c r="T243" s="26">
        <f ca="1">S$243*(1+OFFSET(Choices!$B$52,0,$C$1))</f>
        <v>-0.51</v>
      </c>
      <c r="U243" s="26">
        <f ca="1">T$243*(1+OFFSET(Choices!$B$52,0,$C$1))</f>
        <v>-0.5202</v>
      </c>
      <c r="V243" s="26">
        <f ca="1">U$243*(1+OFFSET(Choices!$B$52,0,$C$1))</f>
        <v>-0.53060399999999996</v>
      </c>
      <c r="W243" s="26">
        <f ca="1">V$243*(1+OFFSET(Choices!$B$52,0,$C$1))</f>
        <v>-0.54121607999999999</v>
      </c>
      <c r="X243" s="26">
        <f ca="1">W$243*(1+OFFSET(Choices!$B$52,0,$C$1))</f>
        <v>-0.55204040160000001</v>
      </c>
      <c r="Y243" s="26">
        <f ca="1">X$243*(1+OFFSET(Choices!$B$52,0,$C$1))</f>
        <v>-0.56308120963200003</v>
      </c>
      <c r="Z243" s="26">
        <f ca="1">Y$243*(1+OFFSET(Choices!$B$52,0,$C$1))</f>
        <v>-0.57434283382464002</v>
      </c>
      <c r="AA243" s="26">
        <f ca="1">Z$243*(1+OFFSET(Choices!$B$52,0,$C$1))</f>
        <v>-0.58582969050113287</v>
      </c>
      <c r="AB243" s="26">
        <f ca="1">AA$243*(1+OFFSET(Choices!$B$52,0,$C$1))</f>
        <v>-0.59754628431115553</v>
      </c>
      <c r="AC243" s="26">
        <f ca="1">AB$243*(1+OFFSET(Choices!$B$52,0,$C$1))</f>
        <v>-0.60949720999737866</v>
      </c>
    </row>
    <row r="245" spans="1:29" x14ac:dyDescent="0.2">
      <c r="A245" s="31" t="s">
        <v>497</v>
      </c>
      <c r="B245" s="4" t="str">
        <f>$B$46</f>
        <v>From Fiscal Forecasts</v>
      </c>
      <c r="F245" s="23">
        <f>'Fiscal Forecasts'!F$53</f>
        <v>0.64500000000000002</v>
      </c>
      <c r="G245" s="23">
        <f>'Fiscal Forecasts'!G$53</f>
        <v>0.69</v>
      </c>
      <c r="H245" s="23">
        <f>'Fiscal Forecasts'!H$53</f>
        <v>0.65500000000000003</v>
      </c>
      <c r="I245" s="23">
        <f>'Fiscal Forecasts'!I$53</f>
        <v>0.32800000000000001</v>
      </c>
      <c r="J245" s="23">
        <f>'Fiscal Forecasts'!J$53</f>
        <v>0.30499999999999999</v>
      </c>
      <c r="K245" s="23">
        <f>'Fiscal Forecasts'!K$53</f>
        <v>0.192</v>
      </c>
      <c r="L245" s="23">
        <f>'Fiscal Forecasts'!L$53</f>
        <v>0.30299999999999999</v>
      </c>
      <c r="M245" s="23">
        <f>'Fiscal Forecasts'!M$53</f>
        <v>0.28199999999999997</v>
      </c>
      <c r="N245" s="23">
        <f>'Fiscal Forecasts'!N$53</f>
        <v>0.35799999999999998</v>
      </c>
      <c r="O245" s="25">
        <f>'Fiscal Forecasts'!O$53</f>
        <v>0.26500000000000001</v>
      </c>
      <c r="P245" s="25">
        <f>'Fiscal Forecasts'!P$53</f>
        <v>0.20599999999999999</v>
      </c>
      <c r="Q245" s="25">
        <f>'Fiscal Forecasts'!Q$53</f>
        <v>0.20799999999999999</v>
      </c>
      <c r="R245" s="25">
        <f>'Fiscal Forecasts'!R$53</f>
        <v>0.219</v>
      </c>
      <c r="S245" s="25">
        <f>'Fiscal Forecasts'!S$53</f>
        <v>0.23</v>
      </c>
      <c r="T245" s="11">
        <f>S$245*Tracks!T$41/Tracks!S$41</f>
        <v>0.22372727272727272</v>
      </c>
      <c r="U245" s="11">
        <f>T$245*Tracks!U$41/Tracks!T$41</f>
        <v>0.21588636363636363</v>
      </c>
      <c r="V245" s="11">
        <f>U$245*Tracks!V$41/Tracks!U$41</f>
        <v>0.21222727272727274</v>
      </c>
      <c r="W245" s="11">
        <f>V$245*Tracks!W$41/Tracks!V$41</f>
        <v>0.21379545454545451</v>
      </c>
      <c r="X245" s="11">
        <f>W$245*Tracks!X$41/Tracks!W$41</f>
        <v>0.21484090909090905</v>
      </c>
      <c r="Y245" s="11">
        <f>X$245*Tracks!Y$41/Tracks!X$41</f>
        <v>0.2158863636363636</v>
      </c>
      <c r="Z245" s="11">
        <f>Y$245*Tracks!Z$41/Tracks!Y$41</f>
        <v>0.21640909090909086</v>
      </c>
      <c r="AA245" s="11">
        <f>Z$245*Tracks!AA$41/Tracks!Z$41</f>
        <v>0.21379545454545448</v>
      </c>
      <c r="AB245" s="11">
        <f>AA$245*Tracks!AB$41/Tracks!AA$41</f>
        <v>0.20543181818181813</v>
      </c>
      <c r="AC245" s="11">
        <f>AB$245*Tracks!AC$41/Tracks!AB$41</f>
        <v>0.19759090909090901</v>
      </c>
    </row>
    <row r="246" spans="1:29" x14ac:dyDescent="0.2">
      <c r="A246" s="31" t="s">
        <v>498</v>
      </c>
      <c r="B246" s="4" t="str">
        <f>$B$46</f>
        <v>From Fiscal Forecasts</v>
      </c>
      <c r="F246" s="23">
        <f>'Fiscal Forecasts'!F$36</f>
        <v>0.64500000000000002</v>
      </c>
      <c r="G246" s="23">
        <f>'Fiscal Forecasts'!G$36</f>
        <v>0.69</v>
      </c>
      <c r="H246" s="23">
        <f>'Fiscal Forecasts'!H$36</f>
        <v>0.65500000000000003</v>
      </c>
      <c r="I246" s="23">
        <f>'Fiscal Forecasts'!I$36</f>
        <v>0.33300000000000002</v>
      </c>
      <c r="J246" s="23">
        <f>'Fiscal Forecasts'!J$36</f>
        <v>0.311</v>
      </c>
      <c r="K246" s="23">
        <f>'Fiscal Forecasts'!K$36</f>
        <v>0.19700000000000001</v>
      </c>
      <c r="L246" s="23">
        <f>'Fiscal Forecasts'!L$36</f>
        <v>0.311</v>
      </c>
      <c r="M246" s="23">
        <f>'Fiscal Forecasts'!M$36</f>
        <v>0.29499999999999998</v>
      </c>
      <c r="N246" s="23">
        <f>'Fiscal Forecasts'!N$36</f>
        <v>0.373</v>
      </c>
      <c r="O246" s="25">
        <f>'Fiscal Forecasts'!O$36</f>
        <v>0.28299999999999997</v>
      </c>
      <c r="P246" s="25">
        <f>'Fiscal Forecasts'!P$36</f>
        <v>0.224</v>
      </c>
      <c r="Q246" s="25">
        <f>'Fiscal Forecasts'!Q$36</f>
        <v>0.22600000000000001</v>
      </c>
      <c r="R246" s="25">
        <f>'Fiscal Forecasts'!R$36</f>
        <v>0.23699999999999999</v>
      </c>
      <c r="S246" s="25">
        <f>'Fiscal Forecasts'!S$36</f>
        <v>0.248</v>
      </c>
      <c r="T246" s="11">
        <f>S$246*Tracks!T$41/Tracks!S$41</f>
        <v>0.24123636363636364</v>
      </c>
      <c r="U246" s="11">
        <f>T$246*Tracks!U$41/Tracks!T$41</f>
        <v>0.23278181818181817</v>
      </c>
      <c r="V246" s="11">
        <f>U$246*Tracks!V$41/Tracks!U$41</f>
        <v>0.22883636363636364</v>
      </c>
      <c r="W246" s="11">
        <f>V$246*Tracks!W$41/Tracks!V$41</f>
        <v>0.23052727272727272</v>
      </c>
      <c r="X246" s="11">
        <f>W$246*Tracks!X$41/Tracks!W$41</f>
        <v>0.23165454545454545</v>
      </c>
      <c r="Y246" s="11">
        <f>X$246*Tracks!Y$41/Tracks!X$41</f>
        <v>0.23278181818181817</v>
      </c>
      <c r="Z246" s="11">
        <f>Y$246*Tracks!Z$41/Tracks!Y$41</f>
        <v>0.23334545454545455</v>
      </c>
      <c r="AA246" s="11">
        <f>Z$246*Tracks!AA$41/Tracks!Z$41</f>
        <v>0.23052727272727275</v>
      </c>
      <c r="AB246" s="11">
        <f>AA$246*Tracks!AB$41/Tracks!AA$41</f>
        <v>0.22150909090909096</v>
      </c>
      <c r="AC246" s="11">
        <f>AB$246*Tracks!AC$41/Tracks!AB$41</f>
        <v>0.21305454545454552</v>
      </c>
    </row>
    <row r="247" spans="1:29" x14ac:dyDescent="0.2">
      <c r="A247" s="31"/>
      <c r="B247" s="4"/>
    </row>
    <row r="248" spans="1:29" x14ac:dyDescent="0.2">
      <c r="A248" s="31" t="s">
        <v>737</v>
      </c>
    </row>
    <row r="249" spans="1:29" x14ac:dyDescent="0.2">
      <c r="A249" s="3" t="s">
        <v>412</v>
      </c>
      <c r="B249" s="4" t="str">
        <f>$B$46</f>
        <v>From Fiscal Forecasts</v>
      </c>
      <c r="F249" s="21">
        <f>'Fiscal Forecasts'!F$54</f>
        <v>10.355</v>
      </c>
      <c r="G249" s="21">
        <f>'Fiscal Forecasts'!G$54</f>
        <v>11.297000000000001</v>
      </c>
      <c r="H249" s="21">
        <f>'Fiscal Forecasts'!H$54</f>
        <v>12.368</v>
      </c>
      <c r="I249" s="21">
        <f>'Fiscal Forecasts'!I$54</f>
        <v>13.128</v>
      </c>
      <c r="J249" s="21">
        <f>'Fiscal Forecasts'!J$54</f>
        <v>13.753</v>
      </c>
      <c r="K249" s="21">
        <f>'Fiscal Forecasts'!K$54</f>
        <v>14.16</v>
      </c>
      <c r="L249" s="21">
        <f>'Fiscal Forecasts'!L$54</f>
        <v>14.497999999999999</v>
      </c>
      <c r="M249" s="21">
        <f>'Fiscal Forecasts'!M$54</f>
        <v>14.898</v>
      </c>
      <c r="N249" s="21">
        <f>'Fiscal Forecasts'!N$54</f>
        <v>15.058</v>
      </c>
      <c r="O249" s="24">
        <f>'Fiscal Forecasts'!O$54</f>
        <v>15.601000000000001</v>
      </c>
      <c r="P249" s="24">
        <f>'Fiscal Forecasts'!P$54</f>
        <v>15.616</v>
      </c>
      <c r="Q249" s="24">
        <f>'Fiscal Forecasts'!Q$54</f>
        <v>15.667999999999999</v>
      </c>
      <c r="R249" s="24">
        <f>'Fiscal Forecasts'!R$54</f>
        <v>15.734999999999999</v>
      </c>
      <c r="S249" s="24">
        <f>'Fiscal Forecasts'!S$54</f>
        <v>15.733000000000001</v>
      </c>
      <c r="T249" s="26">
        <f t="shared" ref="T249:AC249" si="148">S$249</f>
        <v>15.733000000000001</v>
      </c>
      <c r="U249" s="26">
        <f t="shared" si="148"/>
        <v>15.733000000000001</v>
      </c>
      <c r="V249" s="26">
        <f t="shared" si="148"/>
        <v>15.733000000000001</v>
      </c>
      <c r="W249" s="26">
        <f t="shared" si="148"/>
        <v>15.733000000000001</v>
      </c>
      <c r="X249" s="26">
        <f t="shared" si="148"/>
        <v>15.733000000000001</v>
      </c>
      <c r="Y249" s="26">
        <f t="shared" si="148"/>
        <v>15.733000000000001</v>
      </c>
      <c r="Z249" s="26">
        <f t="shared" si="148"/>
        <v>15.733000000000001</v>
      </c>
      <c r="AA249" s="26">
        <f t="shared" si="148"/>
        <v>15.733000000000001</v>
      </c>
      <c r="AB249" s="26">
        <f t="shared" si="148"/>
        <v>15.733000000000001</v>
      </c>
      <c r="AC249" s="26">
        <f t="shared" si="148"/>
        <v>15.733000000000001</v>
      </c>
    </row>
    <row r="250" spans="1:29" x14ac:dyDescent="0.2">
      <c r="A250" s="3" t="s">
        <v>413</v>
      </c>
      <c r="B250" s="4" t="str">
        <f>$B$46</f>
        <v>From Fiscal Forecasts</v>
      </c>
      <c r="F250" s="21">
        <f>'Fiscal Forecasts'!F$172</f>
        <v>8.9719999999999995</v>
      </c>
      <c r="G250" s="21">
        <f>'Fiscal Forecasts'!G$172</f>
        <v>9.7910000000000004</v>
      </c>
      <c r="H250" s="21">
        <f>'Fiscal Forecasts'!H$172</f>
        <v>10.839</v>
      </c>
      <c r="I250" s="21">
        <f>'Fiscal Forecasts'!I$172</f>
        <v>11.07</v>
      </c>
      <c r="J250" s="21">
        <f>'Fiscal Forecasts'!J$172</f>
        <v>11.467000000000001</v>
      </c>
      <c r="K250" s="21">
        <f>'Fiscal Forecasts'!K$172</f>
        <v>11.907</v>
      </c>
      <c r="L250" s="21">
        <f>'Fiscal Forecasts'!L$172</f>
        <v>12.236000000000001</v>
      </c>
      <c r="M250" s="21">
        <f>'Fiscal Forecasts'!M$172</f>
        <v>12.64</v>
      </c>
      <c r="N250" s="21">
        <f>'Fiscal Forecasts'!N$172</f>
        <v>12.922000000000001</v>
      </c>
      <c r="O250" s="24">
        <f>'Fiscal Forecasts'!O$172</f>
        <v>13.218999999999999</v>
      </c>
      <c r="P250" s="24">
        <f>'Fiscal Forecasts'!P$172</f>
        <v>13.166</v>
      </c>
      <c r="Q250" s="24">
        <f>'Fiscal Forecasts'!Q$172</f>
        <v>13.151</v>
      </c>
      <c r="R250" s="24">
        <f>'Fiscal Forecasts'!R$172</f>
        <v>13.156000000000001</v>
      </c>
      <c r="S250" s="24">
        <f>'Fiscal Forecasts'!S$172</f>
        <v>13.148999999999999</v>
      </c>
      <c r="T250" s="26">
        <f ca="1">IF(T$4=OFFSET(Choices!$B$10,0,$C$1),AVERAGE(Q$250/Q$249,R$250/R$249,S$250/S$249),S$250/S$249)*T$249</f>
        <v>13.169628606865688</v>
      </c>
      <c r="U250" s="26">
        <f ca="1">IF(U$4=OFFSET(Choices!$B$10,0,$C$1),AVERAGE(R$250/R$249,S$250/S$249,T$250/T$249),T$250/T$249)*U$249</f>
        <v>13.169628606865688</v>
      </c>
      <c r="V250" s="26">
        <f ca="1">IF(V$4=OFFSET(Choices!$B$10,0,$C$1),AVERAGE(S$250/S$249,T$250/T$249,U$250/U$249),U$250/U$249)*V$249</f>
        <v>13.169628606865688</v>
      </c>
      <c r="W250" s="26">
        <f ca="1">IF(W$4=OFFSET(Choices!$B$10,0,$C$1),AVERAGE(T$250/T$249,U$250/U$249,V$250/V$249),V$250/V$249)*W$249</f>
        <v>13.169628606865688</v>
      </c>
      <c r="X250" s="26">
        <f ca="1">IF(X$4=OFFSET(Choices!$B$10,0,$C$1),AVERAGE(U$250/U$249,V$250/V$249,W$250/W$249),W$250/W$249)*X$249</f>
        <v>13.169628606865688</v>
      </c>
      <c r="Y250" s="26">
        <f ca="1">IF(Y$4=OFFSET(Choices!$B$10,0,$C$1),AVERAGE(V$250/V$249,W$250/W$249,X$250/X$249),X$250/X$249)*Y$249</f>
        <v>13.169628606865688</v>
      </c>
      <c r="Z250" s="26">
        <f ca="1">IF(Z$4=OFFSET(Choices!$B$10,0,$C$1),AVERAGE(W$250/W$249,X$250/X$249,Y$250/Y$249),Y$250/Y$249)*Z$249</f>
        <v>13.169628606865688</v>
      </c>
      <c r="AA250" s="26">
        <f ca="1">IF(AA$4=OFFSET(Choices!$B$10,0,$C$1),AVERAGE(X$250/X$249,Y$250/Y$249,Z$250/Z$249),Z$250/Z$249)*AA$249</f>
        <v>13.169628606865688</v>
      </c>
      <c r="AB250" s="26">
        <f ca="1">IF(AB$4=OFFSET(Choices!$B$10,0,$C$1),AVERAGE(Y$250/Y$249,Z$250/Z$249,AA$250/AA$249),AA$250/AA$249)*AB$249</f>
        <v>13.169628606865688</v>
      </c>
      <c r="AC250" s="26">
        <f ca="1">IF(AC$4=OFFSET(Choices!$B$10,0,$C$1),AVERAGE(Z$250/Z$249,AA$250/AA$249,AB$250/AB$249),AB$250/AB$249)*AC$249</f>
        <v>13.169628606865688</v>
      </c>
    </row>
    <row r="251" spans="1:29" x14ac:dyDescent="0.2">
      <c r="A251" s="3" t="s">
        <v>415</v>
      </c>
      <c r="B251" s="4" t="str">
        <f>$B$46</f>
        <v>From Fiscal Forecasts</v>
      </c>
      <c r="F251" s="21">
        <f>'Fiscal Forecasts'!F$37-SUM(F$249:F$250)</f>
        <v>-8.6659999999999986</v>
      </c>
      <c r="G251" s="21">
        <f>'Fiscal Forecasts'!G$37-SUM(G$249:G$250)</f>
        <v>-10.279000000000002</v>
      </c>
      <c r="H251" s="21">
        <f>'Fiscal Forecasts'!H$37-SUM(H$249:H$250)</f>
        <v>-11.165000000000001</v>
      </c>
      <c r="I251" s="21">
        <f>'Fiscal Forecasts'!I$37-SUM(I$249:I$250)</f>
        <v>-11.525</v>
      </c>
      <c r="J251" s="21">
        <f>'Fiscal Forecasts'!J$37-SUM(J$249:J$250)</f>
        <v>-12.151999999999999</v>
      </c>
      <c r="K251" s="21">
        <f>'Fiscal Forecasts'!K$37-SUM(K$249:K$250)</f>
        <v>-12.417</v>
      </c>
      <c r="L251" s="21">
        <f>'Fiscal Forecasts'!L$37-SUM(L$249:L$250)</f>
        <v>-12.878000000000002</v>
      </c>
      <c r="M251" s="21">
        <f>'Fiscal Forecasts'!M$37-SUM(M$249:M$250)</f>
        <v>-13.194000000000001</v>
      </c>
      <c r="N251" s="21">
        <f>'Fiscal Forecasts'!N$37-SUM(N$249:N$250)</f>
        <v>-13.284000000000001</v>
      </c>
      <c r="O251" s="24">
        <f>'Fiscal Forecasts'!O$37-SUM(O$249:O$250)</f>
        <v>-13.67</v>
      </c>
      <c r="P251" s="24">
        <f>'Fiscal Forecasts'!P$37-SUM(P$249:P$250)</f>
        <v>-13.754</v>
      </c>
      <c r="Q251" s="24">
        <f>'Fiscal Forecasts'!Q$37-SUM(Q$249:Q$250)</f>
        <v>-13.838999999999999</v>
      </c>
      <c r="R251" s="24">
        <f>'Fiscal Forecasts'!R$37-SUM(R$249:R$250)</f>
        <v>-13.935999999999998</v>
      </c>
      <c r="S251" s="24">
        <f>'Fiscal Forecasts'!S$37-SUM(S$249:S$250)</f>
        <v>-13.933999999999997</v>
      </c>
      <c r="T251" s="26">
        <f ca="1">IF(T$4=OFFSET(Choices!$B$10,0,$C$1),AVERAGE(Q$251/Q$249,R$251/R$249,S$251/S$249),S$251/S$249)*T$249</f>
        <v>-13.921546967909782</v>
      </c>
      <c r="U251" s="26">
        <f ca="1">IF(U$4=OFFSET(Choices!$B$10,0,$C$1),AVERAGE(R$251/R$249,S$251/S$249,T$251/T$249),T$251/T$249)*U$249</f>
        <v>-13.921546967909782</v>
      </c>
      <c r="V251" s="26">
        <f ca="1">IF(V$4=OFFSET(Choices!$B$10,0,$C$1),AVERAGE(S$251/S$249,T$251/T$249,U$251/U$249),U$251/U$249)*V$249</f>
        <v>-13.921546967909782</v>
      </c>
      <c r="W251" s="26">
        <f ca="1">IF(W$4=OFFSET(Choices!$B$10,0,$C$1),AVERAGE(T$251/T$249,U$251/U$249,V$251/V$249),V$251/V$249)*W$249</f>
        <v>-13.921546967909782</v>
      </c>
      <c r="X251" s="26">
        <f ca="1">IF(X$4=OFFSET(Choices!$B$10,0,$C$1),AVERAGE(U$251/U$249,V$251/V$249,W$251/W$249),W$251/W$249)*X$249</f>
        <v>-13.921546967909782</v>
      </c>
      <c r="Y251" s="26">
        <f ca="1">IF(Y$4=OFFSET(Choices!$B$10,0,$C$1),AVERAGE(V$251/V$249,W$251/W$249,X$251/X$249),X$251/X$249)*Y$249</f>
        <v>-13.921546967909782</v>
      </c>
      <c r="Z251" s="26">
        <f ca="1">IF(Z$4=OFFSET(Choices!$B$10,0,$C$1),AVERAGE(W$251/W$249,X$251/X$249,Y$251/Y$249),Y$251/Y$249)*Z$249</f>
        <v>-13.921546967909782</v>
      </c>
      <c r="AA251" s="26">
        <f ca="1">IF(AA$4=OFFSET(Choices!$B$10,0,$C$1),AVERAGE(X$251/X$249,Y$251/Y$249,Z$251/Z$249),Z$251/Z$249)*AA$249</f>
        <v>-13.921546967909782</v>
      </c>
      <c r="AB251" s="26">
        <f ca="1">IF(AB$4=OFFSET(Choices!$B$10,0,$C$1),AVERAGE(Y$251/Y$249,Z$251/Z$249,AA$251/AA$249),AA$251/AA$249)*AB$249</f>
        <v>-13.921546967909782</v>
      </c>
      <c r="AC251" s="26">
        <f ca="1">IF(AC$4=OFFSET(Choices!$B$10,0,$C$1),AVERAGE(Z$251/Z$249,AA$251/AA$249,AB$251/AB$249),AB$251/AB$249)*AC$249</f>
        <v>-13.921546967909782</v>
      </c>
    </row>
    <row r="252" spans="1:29" x14ac:dyDescent="0.2">
      <c r="A252" s="31" t="s">
        <v>499</v>
      </c>
      <c r="B252" s="4"/>
      <c r="F252" s="56">
        <f>SUM(F$249:F$251)</f>
        <v>10.661</v>
      </c>
      <c r="G252" s="56">
        <f>SUM(G$249:G$251)</f>
        <v>10.808999999999999</v>
      </c>
      <c r="H252" s="56">
        <f>SUM(H$249:H$251)</f>
        <v>12.042</v>
      </c>
      <c r="I252" s="56">
        <f>SUM(I$249:I$251)</f>
        <v>12.673</v>
      </c>
      <c r="J252" s="56">
        <f t="shared" ref="J252:AC252" si="149">SUM(J$249:J$251)</f>
        <v>13.068</v>
      </c>
      <c r="K252" s="56">
        <f t="shared" si="149"/>
        <v>13.65</v>
      </c>
      <c r="L252" s="56">
        <f t="shared" si="149"/>
        <v>13.856</v>
      </c>
      <c r="M252" s="56">
        <f t="shared" si="149"/>
        <v>14.343999999999999</v>
      </c>
      <c r="N252" s="56">
        <f t="shared" si="149"/>
        <v>14.696</v>
      </c>
      <c r="O252" s="57">
        <f t="shared" si="149"/>
        <v>15.15</v>
      </c>
      <c r="P252" s="57">
        <f t="shared" si="149"/>
        <v>15.028</v>
      </c>
      <c r="Q252" s="57">
        <f t="shared" si="149"/>
        <v>14.98</v>
      </c>
      <c r="R252" s="57">
        <f t="shared" si="149"/>
        <v>14.955</v>
      </c>
      <c r="S252" s="57">
        <f t="shared" si="149"/>
        <v>14.948</v>
      </c>
      <c r="T252" s="58">
        <f t="shared" ca="1" si="149"/>
        <v>14.981081638955908</v>
      </c>
      <c r="U252" s="58">
        <f t="shared" ca="1" si="149"/>
        <v>14.981081638955908</v>
      </c>
      <c r="V252" s="58">
        <f t="shared" ca="1" si="149"/>
        <v>14.981081638955908</v>
      </c>
      <c r="W252" s="58">
        <f t="shared" ca="1" si="149"/>
        <v>14.981081638955908</v>
      </c>
      <c r="X252" s="58">
        <f t="shared" ca="1" si="149"/>
        <v>14.981081638955908</v>
      </c>
      <c r="Y252" s="58">
        <f t="shared" ca="1" si="149"/>
        <v>14.981081638955908</v>
      </c>
      <c r="Z252" s="58">
        <f t="shared" ca="1" si="149"/>
        <v>14.981081638955908</v>
      </c>
      <c r="AA252" s="58">
        <f t="shared" ca="1" si="149"/>
        <v>14.981081638955908</v>
      </c>
      <c r="AB252" s="58">
        <f t="shared" ca="1" si="149"/>
        <v>14.981081638955908</v>
      </c>
      <c r="AC252" s="58">
        <f t="shared" ca="1" si="149"/>
        <v>14.981081638955908</v>
      </c>
    </row>
    <row r="253" spans="1:29" x14ac:dyDescent="0.2">
      <c r="A253" s="31"/>
      <c r="B253" s="4"/>
    </row>
    <row r="254" spans="1:29" x14ac:dyDescent="0.2">
      <c r="A254" s="31" t="s">
        <v>526</v>
      </c>
    </row>
    <row r="255" spans="1:29" x14ac:dyDescent="0.2">
      <c r="A255" s="3" t="s">
        <v>500</v>
      </c>
      <c r="F255" s="21">
        <f>F$182</f>
        <v>0.38200000000000001</v>
      </c>
      <c r="G255" s="21">
        <f t="shared" ref="G255:AC255" si="150">G$182</f>
        <v>0.38600000000000001</v>
      </c>
      <c r="H255" s="21">
        <f t="shared" si="150"/>
        <v>0.44400000000000001</v>
      </c>
      <c r="I255" s="21">
        <f t="shared" si="150"/>
        <v>0.56999999999999995</v>
      </c>
      <c r="J255" s="21">
        <f t="shared" si="150"/>
        <v>0.62</v>
      </c>
      <c r="K255" s="21">
        <f t="shared" si="150"/>
        <v>0.64400000000000002</v>
      </c>
      <c r="L255" s="21">
        <f t="shared" si="150"/>
        <v>0.59599999999999997</v>
      </c>
      <c r="M255" s="21">
        <f t="shared" si="150"/>
        <v>0.53900000000000003</v>
      </c>
      <c r="N255" s="21">
        <f t="shared" si="150"/>
        <v>0.51100000000000001</v>
      </c>
      <c r="O255" s="24">
        <f t="shared" si="150"/>
        <v>0.50900000000000001</v>
      </c>
      <c r="P255" s="24">
        <f t="shared" si="150"/>
        <v>0.54500000000000004</v>
      </c>
      <c r="Q255" s="24">
        <f t="shared" si="150"/>
        <v>0.56100000000000005</v>
      </c>
      <c r="R255" s="24">
        <f t="shared" si="150"/>
        <v>0.56000000000000005</v>
      </c>
      <c r="S255" s="24">
        <f t="shared" si="150"/>
        <v>0.56699999999999995</v>
      </c>
      <c r="T255" s="26">
        <f t="shared" ca="1" si="150"/>
        <v>0.57644494637101884</v>
      </c>
      <c r="U255" s="26">
        <f t="shared" ca="1" si="150"/>
        <v>0.5883856112264948</v>
      </c>
      <c r="V255" s="26">
        <f t="shared" ca="1" si="150"/>
        <v>0.6009522527410287</v>
      </c>
      <c r="W255" s="26">
        <f t="shared" ca="1" si="150"/>
        <v>0.61563262190646872</v>
      </c>
      <c r="X255" s="26">
        <f t="shared" ca="1" si="150"/>
        <v>0.63255621402860607</v>
      </c>
      <c r="Y255" s="26">
        <f t="shared" ca="1" si="150"/>
        <v>0.65223091048484372</v>
      </c>
      <c r="Z255" s="26">
        <f t="shared" ca="1" si="150"/>
        <v>0.67178420967286256</v>
      </c>
      <c r="AA255" s="26">
        <f t="shared" ca="1" si="150"/>
        <v>0.69141093822710864</v>
      </c>
      <c r="AB255" s="26">
        <f t="shared" ca="1" si="150"/>
        <v>0.70906385721328868</v>
      </c>
      <c r="AC255" s="26">
        <f t="shared" ca="1" si="150"/>
        <v>0.72509409583970985</v>
      </c>
    </row>
    <row r="256" spans="1:29" x14ac:dyDescent="0.2">
      <c r="A256" s="3" t="s">
        <v>842</v>
      </c>
      <c r="F256" s="21">
        <f>-SUM(F$390,F$393)</f>
        <v>0.63900000000000001</v>
      </c>
      <c r="G256" s="21">
        <f t="shared" ref="G256:AC256" si="151">-SUM(G$390,G$393)</f>
        <v>0.25600000000000001</v>
      </c>
      <c r="H256" s="21">
        <f t="shared" si="151"/>
        <v>1.3109999999999999</v>
      </c>
      <c r="I256" s="21">
        <f t="shared" si="151"/>
        <v>1.008</v>
      </c>
      <c r="J256" s="21">
        <f t="shared" si="151"/>
        <v>0.58799999999999997</v>
      </c>
      <c r="K256" s="21">
        <f t="shared" si="151"/>
        <v>0.41499999999999998</v>
      </c>
      <c r="L256" s="21">
        <f t="shared" si="151"/>
        <v>1.02</v>
      </c>
      <c r="M256" s="21">
        <f t="shared" si="151"/>
        <v>0.64200000000000002</v>
      </c>
      <c r="N256" s="21">
        <f t="shared" si="151"/>
        <v>0.871</v>
      </c>
      <c r="O256" s="24">
        <f t="shared" si="151"/>
        <v>0.77700000000000002</v>
      </c>
      <c r="P256" s="24">
        <f t="shared" si="151"/>
        <v>0.78500000000000003</v>
      </c>
      <c r="Q256" s="24">
        <f t="shared" si="151"/>
        <v>0.78999999999999992</v>
      </c>
      <c r="R256" s="24">
        <f t="shared" si="151"/>
        <v>0.79299999999999993</v>
      </c>
      <c r="S256" s="24">
        <f t="shared" si="151"/>
        <v>0.81099999999999994</v>
      </c>
      <c r="T256" s="26">
        <f t="shared" ca="1" si="151"/>
        <v>0.71599999999999997</v>
      </c>
      <c r="U256" s="26">
        <f t="shared" ca="1" si="151"/>
        <v>0.72799999999999998</v>
      </c>
      <c r="V256" s="26">
        <f t="shared" ca="1" si="151"/>
        <v>0.74299999999999999</v>
      </c>
      <c r="W256" s="26">
        <f t="shared" ca="1" si="151"/>
        <v>0.75800000000000001</v>
      </c>
      <c r="X256" s="26">
        <f t="shared" ca="1" si="151"/>
        <v>0.78300000000000003</v>
      </c>
      <c r="Y256" s="26">
        <f t="shared" ca="1" si="151"/>
        <v>0.80400000000000005</v>
      </c>
      <c r="Z256" s="26">
        <f t="shared" ca="1" si="151"/>
        <v>0.82900000000000007</v>
      </c>
      <c r="AA256" s="26">
        <f t="shared" ca="1" si="151"/>
        <v>0.85400000000000009</v>
      </c>
      <c r="AB256" s="26">
        <f t="shared" ca="1" si="151"/>
        <v>0.87600000000000011</v>
      </c>
      <c r="AC256" s="26">
        <f t="shared" ca="1" si="151"/>
        <v>0.89900000000000013</v>
      </c>
    </row>
    <row r="257" spans="1:29" x14ac:dyDescent="0.2">
      <c r="A257" s="3" t="s">
        <v>501</v>
      </c>
      <c r="B257" s="4" t="str">
        <f>$B$46</f>
        <v>From Fiscal Forecasts</v>
      </c>
      <c r="F257" s="21">
        <f>'Fiscal Forecasts'!F$55-SUM(F$255:F$256)</f>
        <v>8.2480000000000011</v>
      </c>
      <c r="G257" s="21">
        <f>'Fiscal Forecasts'!G$55-SUM(G$255:G$256)</f>
        <v>8.9090000000000007</v>
      </c>
      <c r="H257" s="21">
        <f>'Fiscal Forecasts'!H$55-SUM(H$255:H$256)</f>
        <v>9.6999999999999993</v>
      </c>
      <c r="I257" s="21">
        <f>'Fiscal Forecasts'!I$55-SUM(I$255:I$256)</f>
        <v>10.146000000000001</v>
      </c>
      <c r="J257" s="21">
        <f>'Fiscal Forecasts'!J$55-SUM(J$255:J$256)</f>
        <v>10.442</v>
      </c>
      <c r="K257" s="21">
        <f>'Fiscal Forecasts'!K$55-SUM(K$255:K$256)</f>
        <v>10.595000000000001</v>
      </c>
      <c r="L257" s="21">
        <f>'Fiscal Forecasts'!L$55-SUM(L$255:L$256)</f>
        <v>10.888</v>
      </c>
      <c r="M257" s="21">
        <f>'Fiscal Forecasts'!M$55-SUM(M$255:M$256)</f>
        <v>11.119</v>
      </c>
      <c r="N257" s="21">
        <f>'Fiscal Forecasts'!N$55-SUM(N$255:N$256)</f>
        <v>11.497</v>
      </c>
      <c r="O257" s="24">
        <f>'Fiscal Forecasts'!O$55-SUM(O$255:O$256)</f>
        <v>11.936</v>
      </c>
      <c r="P257" s="24">
        <f>'Fiscal Forecasts'!P$55-SUM(P$255:P$256)</f>
        <v>11.986000000000001</v>
      </c>
      <c r="Q257" s="24">
        <f>'Fiscal Forecasts'!Q$55-SUM(Q$255:Q$256)</f>
        <v>11.981000000000002</v>
      </c>
      <c r="R257" s="24">
        <f>'Fiscal Forecasts'!R$55-SUM(R$255:R$256)</f>
        <v>11.962</v>
      </c>
      <c r="S257" s="24">
        <f>'Fiscal Forecasts'!S$55-SUM(S$255:S$256)</f>
        <v>12.052999999999999</v>
      </c>
      <c r="T257" s="26">
        <f t="shared" ref="T257:AC257" si="152">S$257</f>
        <v>12.052999999999999</v>
      </c>
      <c r="U257" s="26">
        <f t="shared" si="152"/>
        <v>12.052999999999999</v>
      </c>
      <c r="V257" s="26">
        <f t="shared" si="152"/>
        <v>12.052999999999999</v>
      </c>
      <c r="W257" s="26">
        <f t="shared" si="152"/>
        <v>12.052999999999999</v>
      </c>
      <c r="X257" s="26">
        <f t="shared" si="152"/>
        <v>12.052999999999999</v>
      </c>
      <c r="Y257" s="26">
        <f t="shared" si="152"/>
        <v>12.052999999999999</v>
      </c>
      <c r="Z257" s="26">
        <f t="shared" si="152"/>
        <v>12.052999999999999</v>
      </c>
      <c r="AA257" s="26">
        <f t="shared" si="152"/>
        <v>12.052999999999999</v>
      </c>
      <c r="AB257" s="26">
        <f t="shared" si="152"/>
        <v>12.052999999999999</v>
      </c>
      <c r="AC257" s="26">
        <f t="shared" si="152"/>
        <v>12.052999999999999</v>
      </c>
    </row>
    <row r="258" spans="1:29" x14ac:dyDescent="0.2">
      <c r="A258" s="31" t="s">
        <v>502</v>
      </c>
      <c r="F258" s="56">
        <f>SUM(F$255:F$257)</f>
        <v>9.2690000000000019</v>
      </c>
      <c r="G258" s="56">
        <f t="shared" ref="G258:AC258" si="153">SUM(G$255:G$257)</f>
        <v>9.5510000000000002</v>
      </c>
      <c r="H258" s="56">
        <f t="shared" si="153"/>
        <v>11.454999999999998</v>
      </c>
      <c r="I258" s="56">
        <f t="shared" si="153"/>
        <v>11.724</v>
      </c>
      <c r="J258" s="56">
        <f t="shared" si="153"/>
        <v>11.65</v>
      </c>
      <c r="K258" s="56">
        <f t="shared" si="153"/>
        <v>11.654</v>
      </c>
      <c r="L258" s="56">
        <f t="shared" si="153"/>
        <v>12.504</v>
      </c>
      <c r="M258" s="56">
        <f t="shared" si="153"/>
        <v>12.3</v>
      </c>
      <c r="N258" s="56">
        <f t="shared" si="153"/>
        <v>12.879</v>
      </c>
      <c r="O258" s="57">
        <f t="shared" si="153"/>
        <v>13.222</v>
      </c>
      <c r="P258" s="57">
        <f t="shared" si="153"/>
        <v>13.316000000000001</v>
      </c>
      <c r="Q258" s="57">
        <f t="shared" si="153"/>
        <v>13.332000000000001</v>
      </c>
      <c r="R258" s="57">
        <f t="shared" si="153"/>
        <v>13.315</v>
      </c>
      <c r="S258" s="57">
        <f t="shared" si="153"/>
        <v>13.430999999999999</v>
      </c>
      <c r="T258" s="58">
        <f t="shared" ca="1" si="153"/>
        <v>13.345444946371018</v>
      </c>
      <c r="U258" s="58">
        <f t="shared" ca="1" si="153"/>
        <v>13.369385611226495</v>
      </c>
      <c r="V258" s="58">
        <f t="shared" ca="1" si="153"/>
        <v>13.396952252741027</v>
      </c>
      <c r="W258" s="58">
        <f t="shared" ca="1" si="153"/>
        <v>13.426632621906467</v>
      </c>
      <c r="X258" s="58">
        <f t="shared" ca="1" si="153"/>
        <v>13.468556214028606</v>
      </c>
      <c r="Y258" s="58">
        <f t="shared" ca="1" si="153"/>
        <v>13.509230910484842</v>
      </c>
      <c r="Z258" s="58">
        <f t="shared" ca="1" si="153"/>
        <v>13.553784209672862</v>
      </c>
      <c r="AA258" s="58">
        <f t="shared" ca="1" si="153"/>
        <v>13.598410938227108</v>
      </c>
      <c r="AB258" s="58">
        <f t="shared" ca="1" si="153"/>
        <v>13.638063857213288</v>
      </c>
      <c r="AC258" s="58">
        <f t="shared" ca="1" si="153"/>
        <v>13.67709409583971</v>
      </c>
    </row>
    <row r="259" spans="1:29" x14ac:dyDescent="0.2">
      <c r="A259" s="3" t="s">
        <v>413</v>
      </c>
      <c r="B259" s="4" t="str">
        <f>$B$46</f>
        <v>From Fiscal Forecasts</v>
      </c>
      <c r="F259" s="21">
        <f>'Fiscal Forecasts'!F$173</f>
        <v>6.9</v>
      </c>
      <c r="G259" s="21">
        <f>'Fiscal Forecasts'!G$173</f>
        <v>8.0690000000000008</v>
      </c>
      <c r="H259" s="21">
        <f>'Fiscal Forecasts'!H$173</f>
        <v>8.7569999999999997</v>
      </c>
      <c r="I259" s="21">
        <f>'Fiscal Forecasts'!I$173</f>
        <v>9.01</v>
      </c>
      <c r="J259" s="21">
        <f>'Fiscal Forecasts'!J$173</f>
        <v>9.1760000000000002</v>
      </c>
      <c r="K259" s="21">
        <f>'Fiscal Forecasts'!K$173</f>
        <v>9.3650000000000002</v>
      </c>
      <c r="L259" s="21">
        <f>'Fiscal Forecasts'!L$173</f>
        <v>9.5939999999999994</v>
      </c>
      <c r="M259" s="21">
        <f>'Fiscal Forecasts'!M$173</f>
        <v>9.6219999999999999</v>
      </c>
      <c r="N259" s="21">
        <f>'Fiscal Forecasts'!N$173</f>
        <v>9.8529999999999998</v>
      </c>
      <c r="O259" s="24">
        <f>'Fiscal Forecasts'!O$173</f>
        <v>10.185</v>
      </c>
      <c r="P259" s="24">
        <f>'Fiscal Forecasts'!P$173</f>
        <v>10.206</v>
      </c>
      <c r="Q259" s="24">
        <f>'Fiscal Forecasts'!Q$173</f>
        <v>10.161</v>
      </c>
      <c r="R259" s="24">
        <f>'Fiscal Forecasts'!R$173</f>
        <v>10.099</v>
      </c>
      <c r="S259" s="24">
        <f>'Fiscal Forecasts'!S$173</f>
        <v>10.134</v>
      </c>
      <c r="T259" s="26">
        <f ca="1">IF(T$4=OFFSET(Choices!$B$10,0,$C$1),AVERAGE(Q$259/Q$258,R$259/R$258,S$259/S$258),S$259/S$258)*T$258</f>
        <v>10.12092844357092</v>
      </c>
      <c r="U259" s="26">
        <f ca="1">IF(U$4=OFFSET(Choices!$B$10,0,$C$1),AVERAGE(R$259/R$258,S$259/S$258,T$259/T$258),T$259/T$258)*U$258</f>
        <v>10.139084582753052</v>
      </c>
      <c r="V259" s="26">
        <f ca="1">IF(V$4=OFFSET(Choices!$B$10,0,$C$1),AVERAGE(S$259/S$258,T$259/T$258,U$259/U$258),U$259/U$258)*V$258</f>
        <v>10.159990592805119</v>
      </c>
      <c r="W259" s="26">
        <f ca="1">IF(W$4=OFFSET(Choices!$B$10,0,$C$1),AVERAGE(T$259/T$258,U$259/U$258,V$259/V$258),V$259/V$258)*W$258</f>
        <v>10.182499613201916</v>
      </c>
      <c r="X259" s="26">
        <f ca="1">IF(X$4=OFFSET(Choices!$B$10,0,$C$1),AVERAGE(U$259/U$258,V$259/V$258,W$259/W$258),W$259/W$258)*X$258</f>
        <v>10.214293658111673</v>
      </c>
      <c r="Y259" s="26">
        <f ca="1">IF(Y$4=OFFSET(Choices!$B$10,0,$C$1),AVERAGE(V$259/V$258,W$259/W$258,X$259/X$258),X$259/X$258)*Y$258</f>
        <v>10.24514056459938</v>
      </c>
      <c r="Z259" s="26">
        <f ca="1">IF(Z$4=OFFSET(Choices!$B$10,0,$C$1),AVERAGE(W$259/W$258,X$259/X$258,Y$259/Y$258),Y$259/Y$258)*Z$258</f>
        <v>10.278928928705559</v>
      </c>
      <c r="AA259" s="26">
        <f ca="1">IF(AA$4=OFFSET(Choices!$B$10,0,$C$1),AVERAGE(X$259/X$258,Y$259/Y$258,Z$259/Z$258),Z$259/Z$258)*AA$258</f>
        <v>10.312772980228997</v>
      </c>
      <c r="AB259" s="26">
        <f ca="1">IF(AB$4=OFFSET(Choices!$B$10,0,$C$1),AVERAGE(Y$259/Y$258,Z$259/Z$258,AA$259/AA$258),AA$259/AA$258)*AB$258</f>
        <v>10.342844990360588</v>
      </c>
      <c r="AC259" s="26">
        <f ca="1">IF(AC$4=OFFSET(Choices!$B$10,0,$C$1),AVERAGE(Z$259/Z$258,AA$259/AA$258,AB$259/AB$258),AB$259/AB$258)*AC$258</f>
        <v>10.372444771698785</v>
      </c>
    </row>
    <row r="260" spans="1:29" x14ac:dyDescent="0.2">
      <c r="A260" s="3" t="s">
        <v>414</v>
      </c>
      <c r="B260" s="4" t="str">
        <f>$B$46</f>
        <v>From Fiscal Forecasts</v>
      </c>
      <c r="F260" s="21">
        <f>'Fiscal Forecasts'!F$174</f>
        <v>2.4E-2</v>
      </c>
      <c r="G260" s="21">
        <f>'Fiscal Forecasts'!G$174</f>
        <v>2.5000000000000001E-2</v>
      </c>
      <c r="H260" s="21">
        <f>'Fiscal Forecasts'!H$174</f>
        <v>2.1999999999999999E-2</v>
      </c>
      <c r="I260" s="21">
        <f>'Fiscal Forecasts'!I$174</f>
        <v>2.3E-2</v>
      </c>
      <c r="J260" s="21">
        <f>'Fiscal Forecasts'!J$174</f>
        <v>2.3E-2</v>
      </c>
      <c r="K260" s="21">
        <f>'Fiscal Forecasts'!K$174</f>
        <v>2.8000000000000001E-2</v>
      </c>
      <c r="L260" s="21">
        <f>'Fiscal Forecasts'!L$174</f>
        <v>1.9E-2</v>
      </c>
      <c r="M260" s="21">
        <f>'Fiscal Forecasts'!M$174</f>
        <v>4.0000000000000001E-3</v>
      </c>
      <c r="N260" s="21">
        <f>'Fiscal Forecasts'!N$174</f>
        <v>0</v>
      </c>
      <c r="O260" s="24">
        <f>'Fiscal Forecasts'!O$174</f>
        <v>0</v>
      </c>
      <c r="P260" s="24">
        <f>'Fiscal Forecasts'!P$174</f>
        <v>0</v>
      </c>
      <c r="Q260" s="24">
        <f>'Fiscal Forecasts'!Q$174</f>
        <v>0</v>
      </c>
      <c r="R260" s="24">
        <f>'Fiscal Forecasts'!R$174</f>
        <v>0</v>
      </c>
      <c r="S260" s="24">
        <f>'Fiscal Forecasts'!S$174</f>
        <v>0</v>
      </c>
      <c r="T260" s="26">
        <f ca="1">IF(T$4=OFFSET(Choices!$B$10,0,$C$1),AVERAGE(Q$260/Q$258,R$260/R$258,S$260/S$258),S$260/S$258)*T$258</f>
        <v>0</v>
      </c>
      <c r="U260" s="26">
        <f ca="1">IF(U$4=OFFSET(Choices!$B$10,0,$C$1),AVERAGE(R$260/R$258,S$260/S$258,T$260/T$258),T$260/T$258)*U$258</f>
        <v>0</v>
      </c>
      <c r="V260" s="26">
        <f ca="1">IF(V$4=OFFSET(Choices!$B$10,0,$C$1),AVERAGE(S$260/S$258,T$260/T$258,U$260/U$258),U$260/U$258)*V$258</f>
        <v>0</v>
      </c>
      <c r="W260" s="26">
        <f ca="1">IF(W$4=OFFSET(Choices!$B$10,0,$C$1),AVERAGE(T$260/T$258,U$260/U$258,V$260/V$258),V$260/V$258)*W$258</f>
        <v>0</v>
      </c>
      <c r="X260" s="26">
        <f ca="1">IF(X$4=OFFSET(Choices!$B$10,0,$C$1),AVERAGE(U$260/U$258,V$260/V$258,W$260/W$258),W$260/W$258)*X$258</f>
        <v>0</v>
      </c>
      <c r="Y260" s="26">
        <f ca="1">IF(Y$4=OFFSET(Choices!$B$10,0,$C$1),AVERAGE(V$260/V$258,W$260/W$258,X$260/X$258),X$260/X$258)*Y$258</f>
        <v>0</v>
      </c>
      <c r="Z260" s="26">
        <f ca="1">IF(Z$4=OFFSET(Choices!$B$10,0,$C$1),AVERAGE(W$260/W$258,X$260/X$258,Y$260/Y$258),Y$260/Y$258)*Z$258</f>
        <v>0</v>
      </c>
      <c r="AA260" s="26">
        <f ca="1">IF(AA$4=OFFSET(Choices!$B$10,0,$C$1),AVERAGE(X$260/X$258,Y$260/Y$258,Z$260/Z$258),Z$260/Z$258)*AA$258</f>
        <v>0</v>
      </c>
      <c r="AB260" s="26">
        <f ca="1">IF(AB$4=OFFSET(Choices!$B$10,0,$C$1),AVERAGE(Y$260/Y$258,Z$260/Z$258,AA$260/AA$258),AA$260/AA$258)*AB$258</f>
        <v>0</v>
      </c>
      <c r="AC260" s="26">
        <f ca="1">IF(AC$4=OFFSET(Choices!$B$10,0,$C$1),AVERAGE(Z$260/Z$258,AA$260/AA$258,AB$260/AB$258),AB$260/AB$258)*AC$258</f>
        <v>0</v>
      </c>
    </row>
    <row r="261" spans="1:29" x14ac:dyDescent="0.2">
      <c r="A261" s="3" t="s">
        <v>415</v>
      </c>
      <c r="B261" s="4" t="str">
        <f>$B$46</f>
        <v>From Fiscal Forecasts</v>
      </c>
      <c r="F261" s="21">
        <f>'Fiscal Forecasts'!F$38-SUM(F$258:F$260)</f>
        <v>-6.3400000000000052</v>
      </c>
      <c r="G261" s="21">
        <f>'Fiscal Forecasts'!G$38-SUM(G$258:G$260)</f>
        <v>-7.2479999999999993</v>
      </c>
      <c r="H261" s="21">
        <f>'Fiscal Forecasts'!H$38-SUM(H$258:H$260)</f>
        <v>-7.7689999999999948</v>
      </c>
      <c r="I261" s="21">
        <f>'Fiscal Forecasts'!I$38-SUM(I$258:I$260)</f>
        <v>-8.3170000000000019</v>
      </c>
      <c r="J261" s="21">
        <f>'Fiscal Forecasts'!J$38-SUM(J$258:J$260)</f>
        <v>-8.4429999999999996</v>
      </c>
      <c r="K261" s="21">
        <f>'Fiscal Forecasts'!K$38-SUM(K$258:K$260)</f>
        <v>-8.639999999999997</v>
      </c>
      <c r="L261" s="21">
        <f>'Fiscal Forecasts'!L$38-SUM(L$258:L$260)</f>
        <v>-8.7509999999999977</v>
      </c>
      <c r="M261" s="21">
        <f>'Fiscal Forecasts'!M$38-SUM(M$258:M$260)</f>
        <v>-8.8620000000000019</v>
      </c>
      <c r="N261" s="21">
        <f>'Fiscal Forecasts'!N$38-SUM(N$258:N$260)</f>
        <v>-9.1949999999999985</v>
      </c>
      <c r="O261" s="24">
        <f>'Fiscal Forecasts'!O$38-SUM(O$258:O$260)</f>
        <v>-9.4139999999999997</v>
      </c>
      <c r="P261" s="24">
        <f>'Fiscal Forecasts'!P$38-SUM(P$258:P$260)</f>
        <v>-9.4189999999999987</v>
      </c>
      <c r="Q261" s="24">
        <f>'Fiscal Forecasts'!Q$38-SUM(Q$258:Q$260)</f>
        <v>-9.3710000000000022</v>
      </c>
      <c r="R261" s="24">
        <f>'Fiscal Forecasts'!R$38-SUM(R$258:R$260)</f>
        <v>-9.3050000000000015</v>
      </c>
      <c r="S261" s="24">
        <f>'Fiscal Forecasts'!S$38-SUM(S$258:S$260)</f>
        <v>-9.3389999999999969</v>
      </c>
      <c r="T261" s="26">
        <f ca="1">IF(T$4=OFFSET(Choices!$B$10,0,$C$1),AVERAGE(Q$261/Q$258,R$261/R$258,S$261/S$258),S$261/S$258)*T$258</f>
        <v>-9.3287457568221104</v>
      </c>
      <c r="U261" s="26">
        <f ca="1">IF(U$4=OFFSET(Choices!$B$10,0,$C$1),AVERAGE(R$261/R$258,S$261/S$258,T$261/T$258),T$261/T$258)*U$258</f>
        <v>-9.3454807833861189</v>
      </c>
      <c r="V261" s="26">
        <f ca="1">IF(V$4=OFFSET(Choices!$B$10,0,$C$1),AVERAGE(S$261/S$258,T$261/T$258,U$261/U$258),U$261/U$258)*V$258</f>
        <v>-9.3647504436403803</v>
      </c>
      <c r="W261" s="26">
        <f ca="1">IF(W$4=OFFSET(Choices!$B$10,0,$C$1),AVERAGE(T$261/T$258,U$261/U$258,V$261/V$258),V$261/V$258)*W$258</f>
        <v>-9.3854976438293338</v>
      </c>
      <c r="X261" s="26">
        <f ca="1">IF(X$4=OFFSET(Choices!$B$10,0,$C$1),AVERAGE(U$261/U$258,V$261/V$258,W$261/W$258),W$261/W$258)*X$258</f>
        <v>-9.4148031135002039</v>
      </c>
      <c r="Y261" s="26">
        <f ca="1">IF(Y$4=OFFSET(Choices!$B$10,0,$C$1),AVERAGE(V$261/V$258,W$261/W$258,X$261/X$258),X$261/X$258)*Y$258</f>
        <v>-9.4432355789219979</v>
      </c>
      <c r="Z261" s="26">
        <f ca="1">IF(Z$4=OFFSET(Choices!$B$10,0,$C$1),AVERAGE(W$261/W$258,X$261/X$258,Y$261/Y$258),Y$261/Y$258)*Z$258</f>
        <v>-9.4743792689542801</v>
      </c>
      <c r="AA261" s="26">
        <f ca="1">IF(AA$4=OFFSET(Choices!$B$10,0,$C$1),AVERAGE(X$261/X$258,Y$261/Y$258,Z$261/Z$258),Z$261/Z$258)*AA$258</f>
        <v>-9.5055742876527365</v>
      </c>
      <c r="AB261" s="26">
        <f ca="1">IF(AB$4=OFFSET(Choices!$B$10,0,$C$1),AVERAGE(Y$261/Y$258,Z$261/Z$258,AA$261/AA$258),AA$261/AA$258)*AB$258</f>
        <v>-9.5332925092050651</v>
      </c>
      <c r="AC261" s="26">
        <f ca="1">IF(AC$4=OFFSET(Choices!$B$10,0,$C$1),AVERAGE(Z$261/Z$258,AA$261/AA$258,AB$261/AB$258),AB$261/AB$258)*AC$258</f>
        <v>-9.5605754641336684</v>
      </c>
    </row>
    <row r="262" spans="1:29" x14ac:dyDescent="0.2">
      <c r="A262" s="31" t="s">
        <v>521</v>
      </c>
      <c r="F262" s="56">
        <f>SUM(F$258:F$261)</f>
        <v>9.8529999999999998</v>
      </c>
      <c r="G262" s="56">
        <f t="shared" ref="G262:AC262" si="154">SUM(G$258:G$261)</f>
        <v>10.397</v>
      </c>
      <c r="H262" s="56">
        <f t="shared" si="154"/>
        <v>12.465</v>
      </c>
      <c r="I262" s="56">
        <f t="shared" si="154"/>
        <v>12.44</v>
      </c>
      <c r="J262" s="56">
        <f t="shared" si="154"/>
        <v>12.406000000000001</v>
      </c>
      <c r="K262" s="56">
        <f t="shared" si="154"/>
        <v>12.407</v>
      </c>
      <c r="L262" s="56">
        <f t="shared" si="154"/>
        <v>13.366</v>
      </c>
      <c r="M262" s="56">
        <f t="shared" si="154"/>
        <v>13.064</v>
      </c>
      <c r="N262" s="56">
        <f t="shared" si="154"/>
        <v>13.537000000000001</v>
      </c>
      <c r="O262" s="57">
        <f t="shared" si="154"/>
        <v>13.993</v>
      </c>
      <c r="P262" s="57">
        <f t="shared" si="154"/>
        <v>14.103</v>
      </c>
      <c r="Q262" s="57">
        <f t="shared" si="154"/>
        <v>14.122</v>
      </c>
      <c r="R262" s="57">
        <f t="shared" si="154"/>
        <v>14.109</v>
      </c>
      <c r="S262" s="57">
        <f t="shared" si="154"/>
        <v>14.226000000000001</v>
      </c>
      <c r="T262" s="58">
        <f t="shared" ca="1" si="154"/>
        <v>14.137627633119825</v>
      </c>
      <c r="U262" s="58">
        <f t="shared" ca="1" si="154"/>
        <v>14.162989410593429</v>
      </c>
      <c r="V262" s="58">
        <f t="shared" ca="1" si="154"/>
        <v>14.192192401905766</v>
      </c>
      <c r="W262" s="58">
        <f t="shared" ca="1" si="154"/>
        <v>14.223634591279049</v>
      </c>
      <c r="X262" s="58">
        <f t="shared" ca="1" si="154"/>
        <v>14.268046758640077</v>
      </c>
      <c r="Y262" s="58">
        <f t="shared" ca="1" si="154"/>
        <v>14.311135896162222</v>
      </c>
      <c r="Z262" s="58">
        <f t="shared" ca="1" si="154"/>
        <v>14.358333869424143</v>
      </c>
      <c r="AA262" s="58">
        <f t="shared" ca="1" si="154"/>
        <v>14.405609630803367</v>
      </c>
      <c r="AB262" s="58">
        <f t="shared" ca="1" si="154"/>
        <v>14.44761633836881</v>
      </c>
      <c r="AC262" s="58">
        <f t="shared" ca="1" si="154"/>
        <v>14.488963403404826</v>
      </c>
    </row>
    <row r="263" spans="1:29" x14ac:dyDescent="0.2">
      <c r="A263" s="31"/>
      <c r="B263" s="4"/>
    </row>
    <row r="264" spans="1:29" x14ac:dyDescent="0.2">
      <c r="A264" s="31" t="s">
        <v>534</v>
      </c>
      <c r="B264" s="4"/>
    </row>
    <row r="265" spans="1:29" x14ac:dyDescent="0.2">
      <c r="A265" s="3" t="s">
        <v>435</v>
      </c>
      <c r="B265" s="4"/>
      <c r="F265" s="21">
        <f>F$186</f>
        <v>0.33</v>
      </c>
      <c r="G265" s="21">
        <f t="shared" ref="G265:AC265" si="155">G$186</f>
        <v>0.36199999999999999</v>
      </c>
      <c r="H265" s="21">
        <f t="shared" si="155"/>
        <v>0.45800000000000002</v>
      </c>
      <c r="I265" s="21">
        <f t="shared" si="155"/>
        <v>0.435</v>
      </c>
      <c r="J265" s="21">
        <f t="shared" si="155"/>
        <v>0.495</v>
      </c>
      <c r="K265" s="21">
        <f t="shared" si="155"/>
        <v>0.51</v>
      </c>
      <c r="L265" s="21">
        <f t="shared" si="155"/>
        <v>0.437</v>
      </c>
      <c r="M265" s="21">
        <f t="shared" si="155"/>
        <v>0.53300000000000003</v>
      </c>
      <c r="N265" s="21">
        <f t="shared" si="155"/>
        <v>0.51300000000000001</v>
      </c>
      <c r="O265" s="24">
        <f t="shared" si="155"/>
        <v>0.55900000000000005</v>
      </c>
      <c r="P265" s="24">
        <f t="shared" si="155"/>
        <v>0.57199999999999995</v>
      </c>
      <c r="Q265" s="24">
        <f t="shared" si="155"/>
        <v>0.58599999999999997</v>
      </c>
      <c r="R265" s="24">
        <f t="shared" si="155"/>
        <v>0.58599999999999997</v>
      </c>
      <c r="S265" s="24">
        <f t="shared" si="155"/>
        <v>0.58599999999999997</v>
      </c>
      <c r="T265" s="26">
        <f t="shared" ca="1" si="155"/>
        <v>0.61202581429728042</v>
      </c>
      <c r="U265" s="26">
        <f t="shared" ca="1" si="155"/>
        <v>0.63915728044855957</v>
      </c>
      <c r="V265" s="26">
        <f t="shared" ca="1" si="155"/>
        <v>0.66784931797353064</v>
      </c>
      <c r="W265" s="26">
        <f t="shared" ca="1" si="155"/>
        <v>0.69760790778749338</v>
      </c>
      <c r="X265" s="26">
        <f t="shared" ca="1" si="155"/>
        <v>0.72859380140399943</v>
      </c>
      <c r="Y265" s="26">
        <f t="shared" ca="1" si="155"/>
        <v>0.76058151471117796</v>
      </c>
      <c r="Z265" s="26">
        <f t="shared" ca="1" si="155"/>
        <v>0.79350590841276492</v>
      </c>
      <c r="AA265" s="26">
        <f t="shared" ca="1" si="155"/>
        <v>0.82739014660766308</v>
      </c>
      <c r="AB265" s="26">
        <f t="shared" ca="1" si="155"/>
        <v>0.86210338437212941</v>
      </c>
      <c r="AC265" s="26">
        <f t="shared" ca="1" si="155"/>
        <v>0.89782653713002381</v>
      </c>
    </row>
    <row r="266" spans="1:29" x14ac:dyDescent="0.2">
      <c r="A266" s="3" t="s">
        <v>788</v>
      </c>
      <c r="B266" s="4"/>
      <c r="F266" s="21">
        <f>F$364</f>
        <v>-5.1999999999999998E-2</v>
      </c>
      <c r="G266" s="21">
        <f t="shared" ref="G266:AC266" si="156">G$364</f>
        <v>3.4000000000000002E-2</v>
      </c>
      <c r="H266" s="21">
        <f t="shared" si="156"/>
        <v>-0.32300000000000001</v>
      </c>
      <c r="I266" s="21">
        <f t="shared" si="156"/>
        <v>0.502</v>
      </c>
      <c r="J266" s="21">
        <f t="shared" si="156"/>
        <v>0.16900000000000001</v>
      </c>
      <c r="K266" s="21">
        <f t="shared" si="156"/>
        <v>0.13200000000000001</v>
      </c>
      <c r="L266" s="21">
        <f t="shared" si="156"/>
        <v>0.16500000000000001</v>
      </c>
      <c r="M266" s="21">
        <f t="shared" si="156"/>
        <v>0.16400000000000001</v>
      </c>
      <c r="N266" s="21">
        <f t="shared" si="156"/>
        <v>0.19800000000000001</v>
      </c>
      <c r="O266" s="24">
        <f t="shared" si="156"/>
        <v>0.153</v>
      </c>
      <c r="P266" s="24">
        <f t="shared" si="156"/>
        <v>0.17100000000000001</v>
      </c>
      <c r="Q266" s="24">
        <f t="shared" si="156"/>
        <v>0.20200000000000001</v>
      </c>
      <c r="R266" s="24">
        <f t="shared" si="156"/>
        <v>0.22700000000000001</v>
      </c>
      <c r="S266" s="24">
        <f t="shared" si="156"/>
        <v>0.253</v>
      </c>
      <c r="T266" s="26">
        <f t="shared" ca="1" si="156"/>
        <v>0.21935389637232919</v>
      </c>
      <c r="U266" s="26">
        <f t="shared" ca="1" si="156"/>
        <v>0.23813893409703013</v>
      </c>
      <c r="V266" s="26">
        <f t="shared" ca="1" si="156"/>
        <v>0.26402693669887606</v>
      </c>
      <c r="W266" s="26">
        <f t="shared" ca="1" si="156"/>
        <v>0.29526197158256434</v>
      </c>
      <c r="X266" s="26">
        <f t="shared" ca="1" si="156"/>
        <v>0.32725612363386192</v>
      </c>
      <c r="Y266" s="26">
        <f t="shared" ca="1" si="156"/>
        <v>0.35985523039769385</v>
      </c>
      <c r="Z266" s="26">
        <f t="shared" ca="1" si="156"/>
        <v>0.39281150859990432</v>
      </c>
      <c r="AA266" s="26">
        <f t="shared" ca="1" si="156"/>
        <v>0.42598096906247979</v>
      </c>
      <c r="AB266" s="26">
        <f t="shared" ca="1" si="156"/>
        <v>0.45933741775547865</v>
      </c>
      <c r="AC266" s="26">
        <f t="shared" ca="1" si="156"/>
        <v>0.49298551941390933</v>
      </c>
    </row>
    <row r="267" spans="1:29" x14ac:dyDescent="0.2">
      <c r="A267" s="3" t="s">
        <v>854</v>
      </c>
      <c r="B267" s="4" t="s">
        <v>855</v>
      </c>
      <c r="F267" s="21">
        <f>Tracks!F$46</f>
        <v>2.4790000000000001</v>
      </c>
      <c r="G267" s="21">
        <f>Tracks!G$46</f>
        <v>0.70099999999999996</v>
      </c>
      <c r="H267" s="21">
        <f>Tracks!H$46</f>
        <v>1.6539999999999999</v>
      </c>
      <c r="I267" s="21">
        <f>Tracks!I$46</f>
        <v>0.59</v>
      </c>
      <c r="J267" s="21">
        <f>Tracks!J$46</f>
        <v>1.01</v>
      </c>
      <c r="K267" s="21">
        <f>Tracks!K$46</f>
        <v>1.0029999999999999</v>
      </c>
      <c r="L267" s="21">
        <f>Tracks!L$46</f>
        <v>0.92500000000000004</v>
      </c>
      <c r="M267" s="21">
        <f>Tracks!M$46</f>
        <v>1.069</v>
      </c>
      <c r="N267" s="21">
        <f>Tracks!N$46</f>
        <v>0.873</v>
      </c>
      <c r="O267" s="24">
        <f>Tracks!O$46</f>
        <v>1.179</v>
      </c>
      <c r="P267" s="24">
        <f>Tracks!P$46</f>
        <v>1.232</v>
      </c>
      <c r="Q267" s="24">
        <f>Tracks!Q$46</f>
        <v>1.2749999999999999</v>
      </c>
      <c r="R267" s="24">
        <f>Tracks!R$46</f>
        <v>1.3260000000000001</v>
      </c>
      <c r="S267" s="24">
        <f>Tracks!S$46</f>
        <v>1.323</v>
      </c>
      <c r="T267" s="26">
        <f ca="1">IF(T$4=OFFSET(Choices!$B$10,0,$C$1),AVERAGE(Q$267/Q$142,R$267/R$142,S$267/S$142),S$267/S$142)*T$142</f>
        <v>1.448202990990185</v>
      </c>
      <c r="U267" s="26">
        <f ca="1">IF(U$4=OFFSET(Choices!$B$10,0,$C$1),AVERAGE(R$267/R$142,S$267/S$142,T$267/T$142),T$267/T$142)*U$142</f>
        <v>1.5150584878408264</v>
      </c>
      <c r="V267" s="26">
        <f ca="1">IF(V$4=OFFSET(Choices!$B$10,0,$C$1),AVERAGE(S$267/S$142,T$267/T$142,U$267/U$142),U$267/U$142)*V$142</f>
        <v>1.5858451189572011</v>
      </c>
      <c r="W267" s="26">
        <f ca="1">IF(W$4=OFFSET(Choices!$B$10,0,$C$1),AVERAGE(T$267/T$142,U$267/U$142,V$267/V$142),V$267/V$142)*W$142</f>
        <v>1.6587928429988512</v>
      </c>
      <c r="X267" s="26">
        <f ca="1">IF(X$4=OFFSET(Choices!$B$10,0,$C$1),AVERAGE(U$267/U$142,V$267/V$142,W$267/W$142),W$267/W$142)*X$142</f>
        <v>1.7316873240853876</v>
      </c>
      <c r="Y267" s="26">
        <f ca="1">IF(Y$4=OFFSET(Choices!$B$10,0,$C$1),AVERAGE(V$267/V$142,W$267/W$142,X$267/X$142),X$267/X$142)*Y$142</f>
        <v>1.8077142097846295</v>
      </c>
      <c r="Z267" s="26">
        <f ca="1">IF(Z$4=OFFSET(Choices!$B$10,0,$C$1),AVERAGE(W$267/W$142,X$267/X$142,Y$267/Y$142),Y$267/Y$142)*Z$142</f>
        <v>1.8859673531909658</v>
      </c>
      <c r="AA267" s="26">
        <f ca="1">IF(AA$4=OFFSET(Choices!$B$10,0,$C$1),AVERAGE(X$267/X$142,Y$267/Y$142,Z$267/Z$142),Z$267/Z$142)*AA$142</f>
        <v>1.9665018096402584</v>
      </c>
      <c r="AB267" s="26">
        <f ca="1">IF(AB$4=OFFSET(Choices!$B$10,0,$C$1),AVERAGE(Y$267/Y$142,Z$267/Z$142,AA$267/AA$142),AA$267/AA$142)*AB$142</f>
        <v>2.0490065930996457</v>
      </c>
      <c r="AC267" s="26">
        <f ca="1">IF(AC$4=OFFSET(Choices!$B$10,0,$C$1),AVERAGE(Z$267/Z$142,AA$267/AA$142,AB$267/AB$142),AB$267/AB$142)*AC$142</f>
        <v>2.1339116948010393</v>
      </c>
    </row>
    <row r="268" spans="1:29" x14ac:dyDescent="0.2">
      <c r="A268" s="3" t="s">
        <v>537</v>
      </c>
      <c r="B268" s="4" t="str">
        <f>$B$46</f>
        <v>From Fiscal Forecasts</v>
      </c>
      <c r="F268" s="21">
        <f>'Fiscal Forecasts'!F$56-SUM(F$265:F$267)</f>
        <v>2.0589999999999997</v>
      </c>
      <c r="G268" s="21">
        <f>'Fiscal Forecasts'!G$56-SUM(G$265:G$267)</f>
        <v>2.274</v>
      </c>
      <c r="H268" s="21">
        <f>'Fiscal Forecasts'!H$56-SUM(H$265:H$267)</f>
        <v>3.5040000000000004</v>
      </c>
      <c r="I268" s="21">
        <f>'Fiscal Forecasts'!I$56-SUM(I$265:I$267)</f>
        <v>1.4470000000000001</v>
      </c>
      <c r="J268" s="21">
        <f>'Fiscal Forecasts'!J$56-SUM(J$265:J$267)</f>
        <v>3.8889999999999998</v>
      </c>
      <c r="K268" s="21">
        <f>'Fiscal Forecasts'!K$56-SUM(K$265:K$267)</f>
        <v>3.7829999999999999</v>
      </c>
      <c r="L268" s="21">
        <f>'Fiscal Forecasts'!L$56-SUM(L$265:L$267)</f>
        <v>2.742</v>
      </c>
      <c r="M268" s="21">
        <f>'Fiscal Forecasts'!M$56-SUM(M$265:M$267)</f>
        <v>2.7359999999999998</v>
      </c>
      <c r="N268" s="21">
        <f>'Fiscal Forecasts'!N$56-SUM(N$265:N$267)</f>
        <v>2.5500000000000003</v>
      </c>
      <c r="O268" s="24">
        <f>'Fiscal Forecasts'!O$56-SUM(O$265:O$267)</f>
        <v>3.085</v>
      </c>
      <c r="P268" s="24">
        <f>'Fiscal Forecasts'!P$56-SUM(P$265:P$267)</f>
        <v>2.8069999999999999</v>
      </c>
      <c r="Q268" s="24">
        <f>'Fiscal Forecasts'!Q$56-SUM(Q$265:Q$267)</f>
        <v>2.8010000000000002</v>
      </c>
      <c r="R268" s="24">
        <f>'Fiscal Forecasts'!R$56-SUM(R$265:R$267)</f>
        <v>2.7109999999999994</v>
      </c>
      <c r="S268" s="24">
        <f>'Fiscal Forecasts'!S$56-SUM(S$265:S$267)</f>
        <v>2.6520000000000001</v>
      </c>
      <c r="T268" s="26">
        <f t="shared" ref="T268:AC268" si="157">S$268</f>
        <v>2.6520000000000001</v>
      </c>
      <c r="U268" s="26">
        <f t="shared" si="157"/>
        <v>2.6520000000000001</v>
      </c>
      <c r="V268" s="26">
        <f t="shared" si="157"/>
        <v>2.6520000000000001</v>
      </c>
      <c r="W268" s="26">
        <f t="shared" si="157"/>
        <v>2.6520000000000001</v>
      </c>
      <c r="X268" s="26">
        <f t="shared" si="157"/>
        <v>2.6520000000000001</v>
      </c>
      <c r="Y268" s="26">
        <f t="shared" si="157"/>
        <v>2.6520000000000001</v>
      </c>
      <c r="Z268" s="26">
        <f t="shared" si="157"/>
        <v>2.6520000000000001</v>
      </c>
      <c r="AA268" s="26">
        <f t="shared" si="157"/>
        <v>2.6520000000000001</v>
      </c>
      <c r="AB268" s="26">
        <f t="shared" si="157"/>
        <v>2.6520000000000001</v>
      </c>
      <c r="AC268" s="26">
        <f t="shared" si="157"/>
        <v>2.6520000000000001</v>
      </c>
    </row>
    <row r="269" spans="1:29" x14ac:dyDescent="0.2">
      <c r="A269" s="31" t="s">
        <v>527</v>
      </c>
      <c r="F269" s="56">
        <f>SUM(F$265:F$268)</f>
        <v>4.8159999999999998</v>
      </c>
      <c r="G269" s="56">
        <f t="shared" ref="G269:AC269" si="158">SUM(G$265:G$268)</f>
        <v>3.371</v>
      </c>
      <c r="H269" s="56">
        <f t="shared" si="158"/>
        <v>5.2930000000000001</v>
      </c>
      <c r="I269" s="56">
        <f t="shared" si="158"/>
        <v>2.9740000000000002</v>
      </c>
      <c r="J269" s="56">
        <f t="shared" si="158"/>
        <v>5.5629999999999997</v>
      </c>
      <c r="K269" s="56">
        <f t="shared" si="158"/>
        <v>5.4279999999999999</v>
      </c>
      <c r="L269" s="56">
        <f t="shared" si="158"/>
        <v>4.2690000000000001</v>
      </c>
      <c r="M269" s="56">
        <f t="shared" si="158"/>
        <v>4.5019999999999998</v>
      </c>
      <c r="N269" s="56">
        <f t="shared" si="158"/>
        <v>4.1340000000000003</v>
      </c>
      <c r="O269" s="57">
        <f t="shared" si="158"/>
        <v>4.976</v>
      </c>
      <c r="P269" s="57">
        <f t="shared" si="158"/>
        <v>4.782</v>
      </c>
      <c r="Q269" s="57">
        <f t="shared" si="158"/>
        <v>4.8639999999999999</v>
      </c>
      <c r="R269" s="57">
        <f t="shared" si="158"/>
        <v>4.8499999999999996</v>
      </c>
      <c r="S269" s="57">
        <f t="shared" si="158"/>
        <v>4.8140000000000001</v>
      </c>
      <c r="T269" s="58">
        <f t="shared" ca="1" si="158"/>
        <v>4.9315827016597948</v>
      </c>
      <c r="U269" s="58">
        <f t="shared" ca="1" si="158"/>
        <v>5.0443547023864159</v>
      </c>
      <c r="V269" s="58">
        <f t="shared" ca="1" si="158"/>
        <v>5.1697213736296082</v>
      </c>
      <c r="W269" s="58">
        <f t="shared" ca="1" si="158"/>
        <v>5.3036627223689088</v>
      </c>
      <c r="X269" s="58">
        <f t="shared" ca="1" si="158"/>
        <v>5.4395372491232488</v>
      </c>
      <c r="Y269" s="58">
        <f t="shared" ca="1" si="158"/>
        <v>5.5801509548935009</v>
      </c>
      <c r="Z269" s="58">
        <f t="shared" ca="1" si="158"/>
        <v>5.724284770203635</v>
      </c>
      <c r="AA269" s="58">
        <f t="shared" ca="1" si="158"/>
        <v>5.8718729253104014</v>
      </c>
      <c r="AB269" s="58">
        <f t="shared" ca="1" si="158"/>
        <v>6.0224473952272541</v>
      </c>
      <c r="AC269" s="58">
        <f t="shared" ca="1" si="158"/>
        <v>6.1767237513449729</v>
      </c>
    </row>
    <row r="270" spans="1:29" x14ac:dyDescent="0.2">
      <c r="A270" s="31" t="s">
        <v>528</v>
      </c>
      <c r="B270" s="4" t="str">
        <f>$B$46</f>
        <v>From Fiscal Forecasts</v>
      </c>
      <c r="F270" s="23">
        <f>'Fiscal Forecasts'!F$39</f>
        <v>4.6280000000000001</v>
      </c>
      <c r="G270" s="23">
        <f>'Fiscal Forecasts'!G$39</f>
        <v>3.274</v>
      </c>
      <c r="H270" s="23">
        <f>'Fiscal Forecasts'!H$39</f>
        <v>5.1369999999999996</v>
      </c>
      <c r="I270" s="23">
        <f>'Fiscal Forecasts'!I$39</f>
        <v>2.83</v>
      </c>
      <c r="J270" s="23">
        <f>'Fiscal Forecasts'!J$39</f>
        <v>5.5149999999999997</v>
      </c>
      <c r="K270" s="23">
        <f>'Fiscal Forecasts'!K$39</f>
        <v>5.3050000000000006</v>
      </c>
      <c r="L270" s="23">
        <f>'Fiscal Forecasts'!L$39</f>
        <v>3.9350000000000001</v>
      </c>
      <c r="M270" s="23">
        <f>'Fiscal Forecasts'!M$39</f>
        <v>4.1040000000000001</v>
      </c>
      <c r="N270" s="23">
        <f>'Fiscal Forecasts'!N$39</f>
        <v>3.8980000000000001</v>
      </c>
      <c r="O270" s="25">
        <f>'Fiscal Forecasts'!O$39</f>
        <v>4.8179999999999996</v>
      </c>
      <c r="P270" s="25">
        <f>'Fiscal Forecasts'!P$39</f>
        <v>4.5190000000000001</v>
      </c>
      <c r="Q270" s="25">
        <f>'Fiscal Forecasts'!Q$39</f>
        <v>4.6059999999999999</v>
      </c>
      <c r="R270" s="25">
        <f>'Fiscal Forecasts'!R$39</f>
        <v>4.5640000000000001</v>
      </c>
      <c r="S270" s="25">
        <f>'Fiscal Forecasts'!S$39</f>
        <v>4.5339999999999998</v>
      </c>
      <c r="T270" s="11">
        <f ca="1">IF(T$4=OFFSET(Choices!$B$10,0,$C$1),AVERAGE(Q$270/Q$269,R$270/R$269,S$270/S$269),S$270/S$269)*T$269</f>
        <v>4.6518378106002594</v>
      </c>
      <c r="U270" s="11">
        <f ca="1">IF(U$4=OFFSET(Choices!$B$10,0,$C$1),AVERAGE(R$270/R$269,S$270/S$269,T$270/T$269),T$270/T$269)*U$269</f>
        <v>4.7582127998670067</v>
      </c>
      <c r="V270" s="11">
        <f ca="1">IF(V$4=OFFSET(Choices!$B$10,0,$C$1),AVERAGE(S$270/S$269,T$270/T$269,U$270/U$269),U$270/U$269)*V$269</f>
        <v>4.8764680247630414</v>
      </c>
      <c r="W270" s="11">
        <f ca="1">IF(W$4=OFFSET(Choices!$B$10,0,$C$1),AVERAGE(T$270/T$269,U$270/U$269,V$270/V$269),V$270/V$269)*W$269</f>
        <v>5.0028115270748996</v>
      </c>
      <c r="X270" s="11">
        <f ca="1">IF(X$4=OFFSET(Choices!$B$10,0,$C$1),AVERAGE(U$270/U$269,V$270/V$269,W$270/W$269),W$270/W$269)*X$269</f>
        <v>5.1309785475408694</v>
      </c>
      <c r="Y270" s="11">
        <f ca="1">IF(Y$4=OFFSET(Choices!$B$10,0,$C$1),AVERAGE(V$270/V$269,W$270/W$269,X$270/X$269),X$270/X$269)*Y$269</f>
        <v>5.2636159162644089</v>
      </c>
      <c r="Z270" s="11">
        <f ca="1">IF(Z$4=OFFSET(Choices!$B$10,0,$C$1),AVERAGE(W$270/W$269,X$270/X$269,Y$270/Y$269),Y$270/Y$269)*Z$269</f>
        <v>5.3995737156986747</v>
      </c>
      <c r="AA270" s="11">
        <f ca="1">IF(AA$4=OFFSET(Choices!$B$10,0,$C$1),AVERAGE(X$270/X$269,Y$270/Y$269,Z$270/Z$269),Z$270/Z$269)*AA$269</f>
        <v>5.538789906900603</v>
      </c>
      <c r="AB270" s="11">
        <f ca="1">IF(AB$4=OFFSET(Choices!$B$10,0,$C$1),AVERAGE(Y$270/Y$269,Z$270/Z$269,AA$270/AA$269),AA$270/AA$269)*AB$269</f>
        <v>5.6808230136828453</v>
      </c>
      <c r="AC270" s="11">
        <f ca="1">IF(AC$4=OFFSET(Choices!$B$10,0,$C$1),AVERAGE(Z$270/Z$269,AA$270/AA$269,AB$270/AB$269),AB$270/AB$269)*AC$269</f>
        <v>5.8263480165239194</v>
      </c>
    </row>
    <row r="271" spans="1:29" x14ac:dyDescent="0.2">
      <c r="A271" s="31"/>
      <c r="B271" s="4"/>
      <c r="F271" s="23"/>
      <c r="G271" s="23"/>
      <c r="H271" s="23"/>
      <c r="I271" s="23"/>
      <c r="J271" s="23"/>
      <c r="K271" s="23"/>
      <c r="L271" s="23"/>
      <c r="M271" s="23"/>
      <c r="N271" s="23"/>
      <c r="O271" s="25"/>
      <c r="P271" s="25"/>
      <c r="Q271" s="25"/>
      <c r="R271" s="25"/>
      <c r="S271" s="25"/>
      <c r="T271" s="25"/>
      <c r="U271" s="25"/>
      <c r="V271" s="25"/>
      <c r="W271" s="25"/>
      <c r="X271" s="25"/>
      <c r="Y271" s="25"/>
      <c r="Z271" s="25"/>
      <c r="AA271" s="25"/>
      <c r="AB271" s="25"/>
      <c r="AC271" s="25"/>
    </row>
    <row r="272" spans="1:29" x14ac:dyDescent="0.2">
      <c r="A272" s="31" t="s">
        <v>529</v>
      </c>
      <c r="B272" s="4" t="str">
        <f>$B$46</f>
        <v>From Fiscal Forecasts</v>
      </c>
      <c r="F272" s="23">
        <f>'Fiscal Forecasts'!F$57</f>
        <v>2.6989999999999998</v>
      </c>
      <c r="G272" s="23">
        <f>'Fiscal Forecasts'!G$57</f>
        <v>2.8940000000000001</v>
      </c>
      <c r="H272" s="23">
        <f>'Fiscal Forecasts'!H$57</f>
        <v>3.089</v>
      </c>
      <c r="I272" s="23">
        <f>'Fiscal Forecasts'!I$57</f>
        <v>3.1909999999999998</v>
      </c>
      <c r="J272" s="23">
        <f>'Fiscal Forecasts'!J$57</f>
        <v>3.3820000000000001</v>
      </c>
      <c r="K272" s="23">
        <f>'Fiscal Forecasts'!K$57</f>
        <v>3.403</v>
      </c>
      <c r="L272" s="23">
        <f>'Fiscal Forecasts'!L$57</f>
        <v>3.456</v>
      </c>
      <c r="M272" s="23">
        <f>'Fiscal Forecasts'!M$57</f>
        <v>3.4630000000000001</v>
      </c>
      <c r="N272" s="23">
        <f>'Fiscal Forecasts'!N$57</f>
        <v>3.5150000000000001</v>
      </c>
      <c r="O272" s="25">
        <f>'Fiscal Forecasts'!O$57</f>
        <v>3.6349999999999998</v>
      </c>
      <c r="P272" s="25">
        <f>'Fiscal Forecasts'!P$57</f>
        <v>3.53</v>
      </c>
      <c r="Q272" s="25">
        <f>'Fiscal Forecasts'!Q$57</f>
        <v>3.5179999999999998</v>
      </c>
      <c r="R272" s="25">
        <f>'Fiscal Forecasts'!R$57</f>
        <v>3.51</v>
      </c>
      <c r="S272" s="25">
        <f>'Fiscal Forecasts'!S$57</f>
        <v>3.5129999999999999</v>
      </c>
      <c r="T272" s="11">
        <f t="shared" ref="T272:AC272" si="159">S$272</f>
        <v>3.5129999999999999</v>
      </c>
      <c r="U272" s="11">
        <f t="shared" si="159"/>
        <v>3.5129999999999999</v>
      </c>
      <c r="V272" s="11">
        <f t="shared" si="159"/>
        <v>3.5129999999999999</v>
      </c>
      <c r="W272" s="11">
        <f t="shared" si="159"/>
        <v>3.5129999999999999</v>
      </c>
      <c r="X272" s="11">
        <f t="shared" si="159"/>
        <v>3.5129999999999999</v>
      </c>
      <c r="Y272" s="11">
        <f t="shared" si="159"/>
        <v>3.5129999999999999</v>
      </c>
      <c r="Z272" s="11">
        <f t="shared" si="159"/>
        <v>3.5129999999999999</v>
      </c>
      <c r="AA272" s="11">
        <f t="shared" si="159"/>
        <v>3.5129999999999999</v>
      </c>
      <c r="AB272" s="11">
        <f t="shared" si="159"/>
        <v>3.5129999999999999</v>
      </c>
      <c r="AC272" s="11">
        <f t="shared" si="159"/>
        <v>3.5129999999999999</v>
      </c>
    </row>
    <row r="273" spans="1:29" x14ac:dyDescent="0.2">
      <c r="A273" s="31" t="s">
        <v>530</v>
      </c>
      <c r="B273" s="4" t="str">
        <f>$B$46</f>
        <v>From Fiscal Forecasts</v>
      </c>
      <c r="F273" s="23">
        <f>'Fiscal Forecasts'!F$40</f>
        <v>2.8220000000000001</v>
      </c>
      <c r="G273" s="23">
        <f>'Fiscal Forecasts'!G$40</f>
        <v>3.0819999999999999</v>
      </c>
      <c r="H273" s="23">
        <f>'Fiscal Forecasts'!H$40</f>
        <v>3.25</v>
      </c>
      <c r="I273" s="23">
        <f>'Fiscal Forecasts'!I$40</f>
        <v>3.3540000000000001</v>
      </c>
      <c r="J273" s="23">
        <f>'Fiscal Forecasts'!J$40</f>
        <v>3.5670000000000002</v>
      </c>
      <c r="K273" s="23">
        <f>'Fiscal Forecasts'!K$40</f>
        <v>3.5920000000000001</v>
      </c>
      <c r="L273" s="23">
        <f>'Fiscal Forecasts'!L$40</f>
        <v>3.67</v>
      </c>
      <c r="M273" s="23">
        <f>'Fiscal Forecasts'!M$40</f>
        <v>3.6920000000000002</v>
      </c>
      <c r="N273" s="23">
        <f>'Fiscal Forecasts'!N$40</f>
        <v>3.73</v>
      </c>
      <c r="O273" s="25">
        <f>'Fiscal Forecasts'!O$40</f>
        <v>3.8530000000000002</v>
      </c>
      <c r="P273" s="25">
        <f>'Fiscal Forecasts'!P$40</f>
        <v>3.7629999999999999</v>
      </c>
      <c r="Q273" s="25">
        <f>'Fiscal Forecasts'!Q$40</f>
        <v>3.7589999999999999</v>
      </c>
      <c r="R273" s="25">
        <f>'Fiscal Forecasts'!R$40</f>
        <v>3.7629999999999999</v>
      </c>
      <c r="S273" s="25">
        <f>'Fiscal Forecasts'!S$40</f>
        <v>3.774</v>
      </c>
      <c r="T273" s="11">
        <f ca="1">IF(T$4=OFFSET(Choices!$B$10,0,$C$1),AVERAGE(Q$273/Q$272,R$273/R$272,S$273/S$272),S$273/S$272)*T$272</f>
        <v>3.7646245717182611</v>
      </c>
      <c r="U273" s="11">
        <f ca="1">IF(U$4=OFFSET(Choices!$B$10,0,$C$1),AVERAGE(R$273/R$272,S$273/S$272,T$273/T$272),T$273/T$272)*U$272</f>
        <v>3.7646245717182611</v>
      </c>
      <c r="V273" s="11">
        <f ca="1">IF(V$4=OFFSET(Choices!$B$10,0,$C$1),AVERAGE(S$273/S$272,T$273/T$272,U$273/U$272),U$273/U$272)*V$272</f>
        <v>3.7646245717182611</v>
      </c>
      <c r="W273" s="11">
        <f ca="1">IF(W$4=OFFSET(Choices!$B$10,0,$C$1),AVERAGE(T$273/T$272,U$273/U$272,V$273/V$272),V$273/V$272)*W$272</f>
        <v>3.7646245717182611</v>
      </c>
      <c r="X273" s="11">
        <f ca="1">IF(X$4=OFFSET(Choices!$B$10,0,$C$1),AVERAGE(U$273/U$272,V$273/V$272,W$273/W$272),W$273/W$272)*X$272</f>
        <v>3.7646245717182611</v>
      </c>
      <c r="Y273" s="11">
        <f ca="1">IF(Y$4=OFFSET(Choices!$B$10,0,$C$1),AVERAGE(V$273/V$272,W$273/W$272,X$273/X$272),X$273/X$272)*Y$272</f>
        <v>3.7646245717182611</v>
      </c>
      <c r="Z273" s="11">
        <f ca="1">IF(Z$4=OFFSET(Choices!$B$10,0,$C$1),AVERAGE(W$273/W$272,X$273/X$272,Y$273/Y$272),Y$273/Y$272)*Z$272</f>
        <v>3.7646245717182611</v>
      </c>
      <c r="AA273" s="11">
        <f ca="1">IF(AA$4=OFFSET(Choices!$B$10,0,$C$1),AVERAGE(X$273/X$272,Y$273/Y$272,Z$273/Z$272),Z$273/Z$272)*AA$272</f>
        <v>3.7646245717182611</v>
      </c>
      <c r="AB273" s="11">
        <f ca="1">IF(AB$4=OFFSET(Choices!$B$10,0,$C$1),AVERAGE(Y$273/Y$272,Z$273/Z$272,AA$273/AA$272),AA$273/AA$272)*AB$272</f>
        <v>3.7646245717182611</v>
      </c>
      <c r="AC273" s="11">
        <f ca="1">IF(AC$4=OFFSET(Choices!$B$10,0,$C$1),AVERAGE(Z$273/Z$272,AA$273/AA$272,AB$273/AB$272),AB$273/AB$272)*AC$272</f>
        <v>3.7646245717182611</v>
      </c>
    </row>
    <row r="274" spans="1:29" x14ac:dyDescent="0.2">
      <c r="A274" s="31"/>
      <c r="B274" s="4"/>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row>
    <row r="275" spans="1:29" x14ac:dyDescent="0.2">
      <c r="A275" s="31" t="s">
        <v>531</v>
      </c>
      <c r="B275" s="4" t="str">
        <f>$B$46</f>
        <v>From Fiscal Forecasts</v>
      </c>
      <c r="F275" s="23">
        <f>'Fiscal Forecasts'!F$58</f>
        <v>1.5169999999999999</v>
      </c>
      <c r="G275" s="23">
        <f>'Fiscal Forecasts'!G$58</f>
        <v>1.5620000000000001</v>
      </c>
      <c r="H275" s="23">
        <f>'Fiscal Forecasts'!H$58</f>
        <v>1.7569999999999999</v>
      </c>
      <c r="I275" s="23">
        <f>'Fiscal Forecasts'!I$58</f>
        <v>1.8140000000000001</v>
      </c>
      <c r="J275" s="23">
        <f>'Fiscal Forecasts'!J$58</f>
        <v>1.8089999999999999</v>
      </c>
      <c r="K275" s="23">
        <f>'Fiscal Forecasts'!K$58</f>
        <v>1.736</v>
      </c>
      <c r="L275" s="23">
        <f>'Fiscal Forecasts'!L$58</f>
        <v>1.804</v>
      </c>
      <c r="M275" s="23">
        <f>'Fiscal Forecasts'!M$58</f>
        <v>1.8109999999999999</v>
      </c>
      <c r="N275" s="23">
        <f>'Fiscal Forecasts'!N$58</f>
        <v>1.9610000000000001</v>
      </c>
      <c r="O275" s="25">
        <f>'Fiscal Forecasts'!O$58</f>
        <v>2.0790000000000002</v>
      </c>
      <c r="P275" s="25">
        <f>'Fiscal Forecasts'!P$58</f>
        <v>2.1459999999999999</v>
      </c>
      <c r="Q275" s="25">
        <f>'Fiscal Forecasts'!Q$58</f>
        <v>2.11</v>
      </c>
      <c r="R275" s="25">
        <f>'Fiscal Forecasts'!R$58</f>
        <v>2.117</v>
      </c>
      <c r="S275" s="25">
        <f>'Fiscal Forecasts'!S$58</f>
        <v>2.117</v>
      </c>
      <c r="T275" s="11">
        <f t="shared" ref="T275:AC275" si="160">S$275</f>
        <v>2.117</v>
      </c>
      <c r="U275" s="11">
        <f t="shared" si="160"/>
        <v>2.117</v>
      </c>
      <c r="V275" s="11">
        <f t="shared" si="160"/>
        <v>2.117</v>
      </c>
      <c r="W275" s="11">
        <f t="shared" si="160"/>
        <v>2.117</v>
      </c>
      <c r="X275" s="11">
        <f t="shared" si="160"/>
        <v>2.117</v>
      </c>
      <c r="Y275" s="11">
        <f t="shared" si="160"/>
        <v>2.117</v>
      </c>
      <c r="Z275" s="11">
        <f t="shared" si="160"/>
        <v>2.117</v>
      </c>
      <c r="AA275" s="11">
        <f t="shared" si="160"/>
        <v>2.117</v>
      </c>
      <c r="AB275" s="11">
        <f t="shared" si="160"/>
        <v>2.117</v>
      </c>
      <c r="AC275" s="11">
        <f t="shared" si="160"/>
        <v>2.117</v>
      </c>
    </row>
    <row r="276" spans="1:29" x14ac:dyDescent="0.2">
      <c r="A276" s="31" t="s">
        <v>532</v>
      </c>
      <c r="B276" s="4" t="str">
        <f>$B$46</f>
        <v>From Fiscal Forecasts</v>
      </c>
      <c r="F276" s="23">
        <f>'Fiscal Forecasts'!F$41</f>
        <v>1.478</v>
      </c>
      <c r="G276" s="23">
        <f>'Fiscal Forecasts'!G$41</f>
        <v>1.5249999999999999</v>
      </c>
      <c r="H276" s="23">
        <f>'Fiscal Forecasts'!H$41</f>
        <v>1.712</v>
      </c>
      <c r="I276" s="23">
        <f>'Fiscal Forecasts'!I$41</f>
        <v>1.7709999999999999</v>
      </c>
      <c r="J276" s="23">
        <f>'Fiscal Forecasts'!J$41</f>
        <v>1.778</v>
      </c>
      <c r="K276" s="23">
        <f>'Fiscal Forecasts'!K$41</f>
        <v>1.6930000000000001</v>
      </c>
      <c r="L276" s="23">
        <f>'Fiscal Forecasts'!L$41</f>
        <v>1.766</v>
      </c>
      <c r="M276" s="23">
        <f>'Fiscal Forecasts'!M$41</f>
        <v>1.776</v>
      </c>
      <c r="N276" s="23">
        <f>'Fiscal Forecasts'!N$41</f>
        <v>1.917</v>
      </c>
      <c r="O276" s="25">
        <f>'Fiscal Forecasts'!O$41</f>
        <v>2.0510000000000002</v>
      </c>
      <c r="P276" s="25">
        <f>'Fiscal Forecasts'!P$41</f>
        <v>2.1179999999999999</v>
      </c>
      <c r="Q276" s="25">
        <f>'Fiscal Forecasts'!Q$41</f>
        <v>2.0819999999999999</v>
      </c>
      <c r="R276" s="25">
        <f>'Fiscal Forecasts'!R$41</f>
        <v>2.089</v>
      </c>
      <c r="S276" s="25">
        <f>'Fiscal Forecasts'!S$41</f>
        <v>2.089</v>
      </c>
      <c r="T276" s="11">
        <f ca="1">IF(T$4=OFFSET(Choices!$B$10,0,$C$1),AVERAGE(Q$276/Q$275,R$276/R$275,S$276/S$275),S$276/S$275)*T$275</f>
        <v>2.0889690363349129</v>
      </c>
      <c r="U276" s="11">
        <f ca="1">IF(U$4=OFFSET(Choices!$B$10,0,$C$1),AVERAGE(R$276/R$275,S$276/S$275,T$276/T$275),T$276/T$275)*U$275</f>
        <v>2.0889690363349129</v>
      </c>
      <c r="V276" s="11">
        <f ca="1">IF(V$4=OFFSET(Choices!$B$10,0,$C$1),AVERAGE(S$276/S$275,T$276/T$275,U$276/U$275),U$276/U$275)*V$275</f>
        <v>2.0889690363349129</v>
      </c>
      <c r="W276" s="11">
        <f ca="1">IF(W$4=OFFSET(Choices!$B$10,0,$C$1),AVERAGE(T$276/T$275,U$276/U$275,V$276/V$275),V$276/V$275)*W$275</f>
        <v>2.0889690363349129</v>
      </c>
      <c r="X276" s="11">
        <f ca="1">IF(X$4=OFFSET(Choices!$B$10,0,$C$1),AVERAGE(U$276/U$275,V$276/V$275,W$276/W$275),W$276/W$275)*X$275</f>
        <v>2.0889690363349129</v>
      </c>
      <c r="Y276" s="11">
        <f ca="1">IF(Y$4=OFFSET(Choices!$B$10,0,$C$1),AVERAGE(V$276/V$275,W$276/W$275,X$276/X$275),X$276/X$275)*Y$275</f>
        <v>2.0889690363349129</v>
      </c>
      <c r="Z276" s="11">
        <f ca="1">IF(Z$4=OFFSET(Choices!$B$10,0,$C$1),AVERAGE(W$276/W$275,X$276/X$275,Y$276/Y$275),Y$276/Y$275)*Z$275</f>
        <v>2.0889690363349129</v>
      </c>
      <c r="AA276" s="11">
        <f ca="1">IF(AA$4=OFFSET(Choices!$B$10,0,$C$1),AVERAGE(X$276/X$275,Y$276/Y$275,Z$276/Z$275),Z$276/Z$275)*AA$275</f>
        <v>2.0889690363349129</v>
      </c>
      <c r="AB276" s="11">
        <f ca="1">IF(AB$4=OFFSET(Choices!$B$10,0,$C$1),AVERAGE(Y$276/Y$275,Z$276/Z$275,AA$276/AA$275),AA$276/AA$275)*AB$275</f>
        <v>2.0889690363349129</v>
      </c>
      <c r="AC276" s="11">
        <f ca="1">IF(AC$4=OFFSET(Choices!$B$10,0,$C$1),AVERAGE(Z$276/Z$275,AA$276/AA$275,AB$276/AB$275),AB$276/AB$275)*AC$275</f>
        <v>2.0889690363349129</v>
      </c>
    </row>
    <row r="278" spans="1:29" x14ac:dyDescent="0.2">
      <c r="A278" s="31" t="s">
        <v>522</v>
      </c>
    </row>
    <row r="279" spans="1:29" x14ac:dyDescent="0.2">
      <c r="A279" s="3" t="s">
        <v>412</v>
      </c>
      <c r="B279" s="4" t="str">
        <f>$B$46</f>
        <v>From Fiscal Forecasts</v>
      </c>
      <c r="F279" s="21">
        <f>'Fiscal Forecasts'!F$59</f>
        <v>2.4049999999999998</v>
      </c>
      <c r="G279" s="21">
        <f>'Fiscal Forecasts'!G$59</f>
        <v>2.2440000000000002</v>
      </c>
      <c r="H279" s="21">
        <f>'Fiscal Forecasts'!H$59</f>
        <v>2.6629999999999998</v>
      </c>
      <c r="I279" s="21">
        <f>'Fiscal Forecasts'!I$59</f>
        <v>2.3450000000000002</v>
      </c>
      <c r="J279" s="21">
        <f>'Fiscal Forecasts'!J$59</f>
        <v>2.2810000000000001</v>
      </c>
      <c r="K279" s="21">
        <f>'Fiscal Forecasts'!K$59</f>
        <v>2.2320000000000002</v>
      </c>
      <c r="L279" s="21">
        <f>'Fiscal Forecasts'!L$59</f>
        <v>2.2549999999999999</v>
      </c>
      <c r="M279" s="21">
        <f>'Fiscal Forecasts'!M$59</f>
        <v>2.2370000000000001</v>
      </c>
      <c r="N279" s="21">
        <f>'Fiscal Forecasts'!N$59</f>
        <v>2.2909999999999999</v>
      </c>
      <c r="O279" s="24">
        <f>'Fiscal Forecasts'!O$59</f>
        <v>2.2650000000000001</v>
      </c>
      <c r="P279" s="24">
        <f>'Fiscal Forecasts'!P$59</f>
        <v>2.3210000000000002</v>
      </c>
      <c r="Q279" s="24">
        <f>'Fiscal Forecasts'!Q$59</f>
        <v>2.4039999999999999</v>
      </c>
      <c r="R279" s="24">
        <f>'Fiscal Forecasts'!R$59</f>
        <v>2.4350000000000001</v>
      </c>
      <c r="S279" s="24">
        <f>'Fiscal Forecasts'!S$59</f>
        <v>2.42</v>
      </c>
      <c r="T279" s="26">
        <f t="shared" ref="T279:AC279" ca="1" si="161">S$279*T$138/S$138</f>
        <v>2.5687585466072473</v>
      </c>
      <c r="U279" s="26">
        <f t="shared" ca="1" si="161"/>
        <v>2.6826331315185152</v>
      </c>
      <c r="V279" s="26">
        <f t="shared" ca="1" si="161"/>
        <v>2.8030576542920684</v>
      </c>
      <c r="W279" s="26">
        <f t="shared" ca="1" si="161"/>
        <v>2.9279586472466979</v>
      </c>
      <c r="X279" s="26">
        <f t="shared" ca="1" si="161"/>
        <v>3.0580108071266752</v>
      </c>
      <c r="Y279" s="26">
        <f t="shared" ca="1" si="161"/>
        <v>3.1922677453549784</v>
      </c>
      <c r="Z279" s="26">
        <f t="shared" ca="1" si="161"/>
        <v>3.3304560631303008</v>
      </c>
      <c r="AA279" s="26">
        <f t="shared" ca="1" si="161"/>
        <v>3.4726729834384074</v>
      </c>
      <c r="AB279" s="26">
        <f t="shared" ca="1" si="161"/>
        <v>3.6183693317048049</v>
      </c>
      <c r="AC279" s="26">
        <f t="shared" ca="1" si="161"/>
        <v>3.7683044354454207</v>
      </c>
    </row>
    <row r="280" spans="1:29" x14ac:dyDescent="0.2">
      <c r="A280" s="3" t="s">
        <v>413</v>
      </c>
      <c r="B280" s="4" t="str">
        <f>$B$46</f>
        <v>From Fiscal Forecasts</v>
      </c>
      <c r="F280" s="21">
        <f>'Fiscal Forecasts'!F$175</f>
        <v>1.5980000000000001</v>
      </c>
      <c r="G280" s="21">
        <f>'Fiscal Forecasts'!G$175</f>
        <v>1.7370000000000001</v>
      </c>
      <c r="H280" s="21">
        <f>'Fiscal Forecasts'!H$175</f>
        <v>2.032</v>
      </c>
      <c r="I280" s="21">
        <f>'Fiscal Forecasts'!I$175</f>
        <v>2.1080000000000001</v>
      </c>
      <c r="J280" s="21">
        <f>'Fiscal Forecasts'!J$175</f>
        <v>2.117</v>
      </c>
      <c r="K280" s="21">
        <f>'Fiscal Forecasts'!K$175</f>
        <v>2.13</v>
      </c>
      <c r="L280" s="21">
        <f>'Fiscal Forecasts'!L$175</f>
        <v>2.25</v>
      </c>
      <c r="M280" s="21">
        <f>'Fiscal Forecasts'!M$175</f>
        <v>2.2890000000000001</v>
      </c>
      <c r="N280" s="21">
        <f>'Fiscal Forecasts'!N$175</f>
        <v>2.5640000000000001</v>
      </c>
      <c r="O280" s="24">
        <f>'Fiscal Forecasts'!O$175</f>
        <v>2.6669999999999998</v>
      </c>
      <c r="P280" s="24">
        <f>'Fiscal Forecasts'!P$175</f>
        <v>2.6909999999999998</v>
      </c>
      <c r="Q280" s="24">
        <f>'Fiscal Forecasts'!Q$175</f>
        <v>2.7040000000000002</v>
      </c>
      <c r="R280" s="24">
        <f>'Fiscal Forecasts'!R$175</f>
        <v>2.681</v>
      </c>
      <c r="S280" s="24">
        <f>'Fiscal Forecasts'!S$175</f>
        <v>2.63</v>
      </c>
      <c r="T280" s="26">
        <f ca="1">IF(T$4=OFFSET(Choices!$B$10,0,$C$1),AVERAGE(Q$280/Q$279,R$280/R$279,S$280/S$279),S$280/S$279)*T$279</f>
        <v>2.8364193912753572</v>
      </c>
      <c r="U280" s="26">
        <f ca="1">IF(U$4=OFFSET(Choices!$B$10,0,$C$1),AVERAGE(R$280/R$279,S$280/S$279,T$280/T$279),T$280/T$279)*U$279</f>
        <v>2.9621595396604041</v>
      </c>
      <c r="V280" s="26">
        <f ca="1">IF(V$4=OFFSET(Choices!$B$10,0,$C$1),AVERAGE(S$280/S$279,T$280/T$279,U$280/U$279),U$280/U$279)*V$279</f>
        <v>3.0951321197540569</v>
      </c>
      <c r="W280" s="26">
        <f ca="1">IF(W$4=OFFSET(Choices!$B$10,0,$C$1),AVERAGE(T$280/T$279,U$280/U$279,V$280/V$279),V$280/V$279)*W$279</f>
        <v>3.2330476116067151</v>
      </c>
      <c r="X280" s="26">
        <f ca="1">IF(X$4=OFFSET(Choices!$B$10,0,$C$1),AVERAGE(U$280/U$279,V$280/V$279,W$280/W$279),W$280/W$279)*X$279</f>
        <v>3.376651014366395</v>
      </c>
      <c r="Y280" s="26">
        <f ca="1">IF(Y$4=OFFSET(Choices!$B$10,0,$C$1),AVERAGE(V$280/V$279,W$280/W$279,X$280/X$279),X$280/X$279)*Y$279</f>
        <v>3.5248973271648403</v>
      </c>
      <c r="Z280" s="26">
        <f ca="1">IF(Z$4=OFFSET(Choices!$B$10,0,$C$1),AVERAGE(W$280/W$279,X$280/X$279,Y$280/Y$279),Y$280/Y$279)*Z$279</f>
        <v>3.6774846634496523</v>
      </c>
      <c r="AA280" s="26">
        <f ca="1">IF(AA$4=OFFSET(Choices!$B$10,0,$C$1),AVERAGE(X$280/X$279,Y$280/Y$279,Z$280/Z$279),Z$280/Z$279)*AA$279</f>
        <v>3.834520376698046</v>
      </c>
      <c r="AB280" s="26">
        <f ca="1">IF(AB$4=OFFSET(Choices!$B$10,0,$C$1),AVERAGE(Y$280/Y$279,Z$280/Z$279,AA$280/AA$279),AA$280/AA$279)*AB$279</f>
        <v>3.9953980691563875</v>
      </c>
      <c r="AC280" s="26">
        <f ca="1">IF(AC$4=OFFSET(Choices!$B$10,0,$C$1),AVERAGE(Z$280/Z$279,AA$280/AA$279,AB$280/AB$279),AB$280/AB$279)*AC$279</f>
        <v>4.1609561891456961</v>
      </c>
    </row>
    <row r="281" spans="1:29" x14ac:dyDescent="0.2">
      <c r="A281" s="3" t="s">
        <v>414</v>
      </c>
      <c r="B281" s="4" t="str">
        <f>$B$46</f>
        <v>From Fiscal Forecasts</v>
      </c>
      <c r="F281" s="21">
        <f>'Fiscal Forecasts'!F$176</f>
        <v>5.3380000000000001</v>
      </c>
      <c r="G281" s="21">
        <f>'Fiscal Forecasts'!G$176</f>
        <v>5.8319999999999999</v>
      </c>
      <c r="H281" s="21">
        <f>'Fiscal Forecasts'!H$176</f>
        <v>6.7670000000000003</v>
      </c>
      <c r="I281" s="21">
        <f>'Fiscal Forecasts'!I$176</f>
        <v>5.9770000000000003</v>
      </c>
      <c r="J281" s="21">
        <f>'Fiscal Forecasts'!J$176</f>
        <v>6.2030000000000003</v>
      </c>
      <c r="K281" s="21">
        <f>'Fiscal Forecasts'!K$176</f>
        <v>8.1020000000000003</v>
      </c>
      <c r="L281" s="21">
        <f>'Fiscal Forecasts'!L$176</f>
        <v>6.891</v>
      </c>
      <c r="M281" s="21">
        <f>'Fiscal Forecasts'!M$176</f>
        <v>6.9089999999999998</v>
      </c>
      <c r="N281" s="21">
        <f>'Fiscal Forecasts'!N$176</f>
        <v>6.9189999999999996</v>
      </c>
      <c r="O281" s="24">
        <f>'Fiscal Forecasts'!O$176</f>
        <v>7.1189999999999998</v>
      </c>
      <c r="P281" s="24">
        <f>'Fiscal Forecasts'!P$176</f>
        <v>7.3819999999999997</v>
      </c>
      <c r="Q281" s="24">
        <f>'Fiscal Forecasts'!Q$176</f>
        <v>7.6589999999999998</v>
      </c>
      <c r="R281" s="24">
        <f>'Fiscal Forecasts'!R$176</f>
        <v>7.8689999999999998</v>
      </c>
      <c r="S281" s="24">
        <f>'Fiscal Forecasts'!S$176</f>
        <v>8.0890000000000004</v>
      </c>
      <c r="T281" s="26">
        <f t="shared" ref="T281:AC281" ca="1" si="162">S$281*T$11/S$11</f>
        <v>8.448253945137715</v>
      </c>
      <c r="U281" s="26">
        <f t="shared" ca="1" si="162"/>
        <v>8.8227700367720114</v>
      </c>
      <c r="V281" s="26">
        <f t="shared" ca="1" si="162"/>
        <v>9.218827872163633</v>
      </c>
      <c r="W281" s="26">
        <f t="shared" ca="1" si="162"/>
        <v>9.6296081332645613</v>
      </c>
      <c r="X281" s="26">
        <f t="shared" ca="1" si="162"/>
        <v>10.057329794465787</v>
      </c>
      <c r="Y281" s="26">
        <f t="shared" ca="1" si="162"/>
        <v>10.498880328496105</v>
      </c>
      <c r="Z281" s="26">
        <f t="shared" ca="1" si="162"/>
        <v>10.953360568516816</v>
      </c>
      <c r="AA281" s="26">
        <f t="shared" ca="1" si="162"/>
        <v>11.421090266056972</v>
      </c>
      <c r="AB281" s="26">
        <f t="shared" ca="1" si="162"/>
        <v>11.90026326994224</v>
      </c>
      <c r="AC281" s="26">
        <f t="shared" ca="1" si="162"/>
        <v>12.393376892226552</v>
      </c>
    </row>
    <row r="282" spans="1:29" x14ac:dyDescent="0.2">
      <c r="A282" s="3" t="s">
        <v>415</v>
      </c>
      <c r="B282" s="4" t="str">
        <f>$B$46</f>
        <v>From Fiscal Forecasts</v>
      </c>
      <c r="F282" s="21">
        <f>'Fiscal Forecasts'!F$42-SUM(F$279:F$281)</f>
        <v>-2.3510000000000009</v>
      </c>
      <c r="G282" s="21">
        <f>'Fiscal Forecasts'!G$42-SUM(G$279:G$281)</f>
        <v>-2.3890000000000002</v>
      </c>
      <c r="H282" s="21">
        <f>'Fiscal Forecasts'!H$42-SUM(H$279:H$281)</f>
        <v>-2.4390000000000001</v>
      </c>
      <c r="I282" s="21">
        <f>'Fiscal Forecasts'!I$42-SUM(I$279:I$281)</f>
        <v>-2.4390000000000001</v>
      </c>
      <c r="J282" s="21">
        <f>'Fiscal Forecasts'!J$42-SUM(J$279:J$281)</f>
        <v>-2.1989999999999998</v>
      </c>
      <c r="K282" s="21">
        <f>'Fiscal Forecasts'!K$42-SUM(K$279:K$281)</f>
        <v>-2.2050000000000001</v>
      </c>
      <c r="L282" s="21">
        <f>'Fiscal Forecasts'!L$42-SUM(L$279:L$281)</f>
        <v>-2.3440000000000012</v>
      </c>
      <c r="M282" s="21">
        <f>'Fiscal Forecasts'!M$42-SUM(M$279:M$281)</f>
        <v>-2.2979999999999983</v>
      </c>
      <c r="N282" s="21">
        <f>'Fiscal Forecasts'!N$42-SUM(N$279:N$281)</f>
        <v>-2.495000000000001</v>
      </c>
      <c r="O282" s="24">
        <f>'Fiscal Forecasts'!O$42-SUM(O$279:O$281)</f>
        <v>-2.6020000000000003</v>
      </c>
      <c r="P282" s="24">
        <f>'Fiscal Forecasts'!P$42-SUM(P$279:P$281)</f>
        <v>-2.6140000000000008</v>
      </c>
      <c r="Q282" s="24">
        <f>'Fiscal Forecasts'!Q$42-SUM(Q$279:Q$281)</f>
        <v>-2.6869999999999994</v>
      </c>
      <c r="R282" s="24">
        <f>'Fiscal Forecasts'!R$42-SUM(R$279:R$281)</f>
        <v>-2.7279999999999998</v>
      </c>
      <c r="S282" s="24">
        <f>'Fiscal Forecasts'!S$42-SUM(S$279:S$281)</f>
        <v>-2.7439999999999998</v>
      </c>
      <c r="T282" s="26">
        <f ca="1">IF(T$4=OFFSET(Choices!$B$10,0,$C$1),AVERAGE(Q$282/Q$279,R$282/R$279,S$282/S$279),S$282/S$279)*T$279</f>
        <v>-2.8872274990354554</v>
      </c>
      <c r="U282" s="26">
        <f ca="1">IF(U$4=OFFSET(Choices!$B$10,0,$C$1),AVERAGE(R$282/R$279,S$282/S$279,T$282/T$279),T$282/T$279)*U$279</f>
        <v>-3.0152200008730872</v>
      </c>
      <c r="V282" s="26">
        <f ca="1">IF(V$4=OFFSET(Choices!$B$10,0,$C$1),AVERAGE(S$282/S$279,T$282/T$279,U$282/U$279),U$282/U$279)*V$279</f>
        <v>-3.1505744872529955</v>
      </c>
      <c r="W282" s="26">
        <f ca="1">IF(W$4=OFFSET(Choices!$B$10,0,$C$1),AVERAGE(T$282/T$279,U$282/U$279,V$282/V$279),V$282/V$279)*W$279</f>
        <v>-3.290960426597795</v>
      </c>
      <c r="X282" s="26">
        <f ca="1">IF(X$4=OFFSET(Choices!$B$10,0,$C$1),AVERAGE(U$282/U$279,V$282/V$279,W$282/W$279),W$282/W$279)*X$279</f>
        <v>-3.4371361630485269</v>
      </c>
      <c r="Y282" s="26">
        <f ca="1">IF(Y$4=OFFSET(Choices!$B$10,0,$C$1),AVERAGE(V$282/V$279,W$282/W$279,X$282/X$279),X$282/X$279)*Y$279</f>
        <v>-3.5880379768842543</v>
      </c>
      <c r="Z282" s="26">
        <f ca="1">IF(Z$4=OFFSET(Choices!$B$10,0,$C$1),AVERAGE(W$282/W$279,X$282/X$279,Y$282/Y$279),Y$282/Y$279)*Z$279</f>
        <v>-3.7433585739303745</v>
      </c>
      <c r="AA282" s="26">
        <f ca="1">IF(AA$4=OFFSET(Choices!$B$10,0,$C$1),AVERAGE(X$282/X$279,Y$282/Y$279,Z$282/Z$279),Z$282/Z$279)*AA$279</f>
        <v>-3.9032072306614736</v>
      </c>
      <c r="AB282" s="26">
        <f ca="1">IF(AB$4=OFFSET(Choices!$B$10,0,$C$1),AVERAGE(Y$282/Y$279,Z$282/Z$279,AA$282/AA$279),AA$282/AA$279)*AB$279</f>
        <v>-4.0669666870647951</v>
      </c>
      <c r="AC282" s="26">
        <f ca="1">IF(AC$4=OFFSET(Choices!$B$10,0,$C$1),AVERAGE(Z$282/Z$279,AA$282/AA$279,AB$282/AB$279),AB$282/AB$279)*AC$279</f>
        <v>-4.2354904103872535</v>
      </c>
    </row>
    <row r="283" spans="1:29" x14ac:dyDescent="0.2">
      <c r="A283" s="31" t="s">
        <v>523</v>
      </c>
      <c r="F283" s="56">
        <f>SUM(F$279:F$282)</f>
        <v>6.99</v>
      </c>
      <c r="G283" s="56">
        <f t="shared" ref="G283:AC283" si="163">SUM(G$279:G$282)</f>
        <v>7.4240000000000004</v>
      </c>
      <c r="H283" s="56">
        <f t="shared" si="163"/>
        <v>9.0229999999999997</v>
      </c>
      <c r="I283" s="56">
        <f t="shared" si="163"/>
        <v>7.9909999999999997</v>
      </c>
      <c r="J283" s="56">
        <f t="shared" si="163"/>
        <v>8.4019999999999992</v>
      </c>
      <c r="K283" s="56">
        <f t="shared" si="163"/>
        <v>10.259</v>
      </c>
      <c r="L283" s="56">
        <f t="shared" si="163"/>
        <v>9.0519999999999996</v>
      </c>
      <c r="M283" s="56">
        <f t="shared" si="163"/>
        <v>9.1370000000000005</v>
      </c>
      <c r="N283" s="56">
        <f t="shared" si="163"/>
        <v>9.2789999999999999</v>
      </c>
      <c r="O283" s="57">
        <f t="shared" si="163"/>
        <v>9.4489999999999998</v>
      </c>
      <c r="P283" s="57">
        <f t="shared" si="163"/>
        <v>9.7799999999999994</v>
      </c>
      <c r="Q283" s="57">
        <f t="shared" si="163"/>
        <v>10.08</v>
      </c>
      <c r="R283" s="57">
        <f t="shared" si="163"/>
        <v>10.257</v>
      </c>
      <c r="S283" s="57">
        <f t="shared" si="163"/>
        <v>10.395</v>
      </c>
      <c r="T283" s="58">
        <f t="shared" ca="1" si="163"/>
        <v>10.966204383984865</v>
      </c>
      <c r="U283" s="58">
        <f t="shared" ca="1" si="163"/>
        <v>11.452342707077843</v>
      </c>
      <c r="V283" s="58">
        <f t="shared" ca="1" si="163"/>
        <v>11.966443158956762</v>
      </c>
      <c r="W283" s="58">
        <f t="shared" ca="1" si="163"/>
        <v>12.499653965520178</v>
      </c>
      <c r="X283" s="58">
        <f t="shared" ca="1" si="163"/>
        <v>13.05485545291033</v>
      </c>
      <c r="Y283" s="58">
        <f t="shared" ca="1" si="163"/>
        <v>13.62800742413167</v>
      </c>
      <c r="Z283" s="58">
        <f t="shared" ca="1" si="163"/>
        <v>14.217942721166393</v>
      </c>
      <c r="AA283" s="58">
        <f t="shared" ca="1" si="163"/>
        <v>14.82507639553195</v>
      </c>
      <c r="AB283" s="58">
        <f t="shared" ca="1" si="163"/>
        <v>15.447063983738637</v>
      </c>
      <c r="AC283" s="58">
        <f t="shared" ca="1" si="163"/>
        <v>16.087147106430415</v>
      </c>
    </row>
    <row r="285" spans="1:29" x14ac:dyDescent="0.2">
      <c r="A285" s="31" t="s">
        <v>533</v>
      </c>
    </row>
    <row r="286" spans="1:29" x14ac:dyDescent="0.2">
      <c r="A286" s="3" t="s">
        <v>434</v>
      </c>
      <c r="F286" s="21">
        <f>F$185</f>
        <v>0</v>
      </c>
      <c r="G286" s="21">
        <f t="shared" ref="G286:AC286" si="164">G$185</f>
        <v>1.1020000000000001</v>
      </c>
      <c r="H286" s="21">
        <f t="shared" si="164"/>
        <v>1.2809999999999999</v>
      </c>
      <c r="I286" s="21">
        <f t="shared" si="164"/>
        <v>1.024</v>
      </c>
      <c r="J286" s="21">
        <f t="shared" si="164"/>
        <v>1.042</v>
      </c>
      <c r="K286" s="21">
        <f t="shared" si="164"/>
        <v>0.68799999999999994</v>
      </c>
      <c r="L286" s="21">
        <f t="shared" si="164"/>
        <v>0.72299999999999998</v>
      </c>
      <c r="M286" s="21">
        <f t="shared" si="164"/>
        <v>0.80400000000000005</v>
      </c>
      <c r="N286" s="21">
        <f t="shared" si="164"/>
        <v>0.85599999999999998</v>
      </c>
      <c r="O286" s="24">
        <f t="shared" si="164"/>
        <v>0.70899999999999996</v>
      </c>
      <c r="P286" s="24">
        <f t="shared" si="164"/>
        <v>0.749</v>
      </c>
      <c r="Q286" s="24">
        <f t="shared" si="164"/>
        <v>0.78300000000000003</v>
      </c>
      <c r="R286" s="24">
        <f t="shared" si="164"/>
        <v>0.81799999999999995</v>
      </c>
      <c r="S286" s="24">
        <f t="shared" si="164"/>
        <v>0.85499999999999998</v>
      </c>
      <c r="T286" s="26">
        <f t="shared" si="164"/>
        <v>0.88800000000000001</v>
      </c>
      <c r="U286" s="26">
        <f t="shared" si="164"/>
        <v>0.92300000000000004</v>
      </c>
      <c r="V286" s="26">
        <f t="shared" ca="1" si="164"/>
        <v>0.96443385586871944</v>
      </c>
      <c r="W286" s="26">
        <f t="shared" ca="1" si="164"/>
        <v>1.007407908169291</v>
      </c>
      <c r="X286" s="26">
        <f t="shared" ca="1" si="164"/>
        <v>1.0521542963946802</v>
      </c>
      <c r="Y286" s="26">
        <f t="shared" ca="1" si="164"/>
        <v>1.0983474014185413</v>
      </c>
      <c r="Z286" s="26">
        <f t="shared" ca="1" si="164"/>
        <v>1.1458931562994643</v>
      </c>
      <c r="AA286" s="26">
        <f t="shared" ca="1" si="164"/>
        <v>1.1948250120579438</v>
      </c>
      <c r="AB286" s="26">
        <f t="shared" ca="1" si="164"/>
        <v>1.2449540169784801</v>
      </c>
      <c r="AC286" s="26">
        <f t="shared" ca="1" si="164"/>
        <v>1.2965414290351753</v>
      </c>
    </row>
    <row r="287" spans="1:29" x14ac:dyDescent="0.2">
      <c r="A287" s="3" t="s">
        <v>840</v>
      </c>
      <c r="B287" s="4" t="str">
        <f>$B$46</f>
        <v>From Fiscal Forecasts</v>
      </c>
      <c r="F287" s="21">
        <f>'Fiscal Forecasts'!F$60-F$286</f>
        <v>1.595</v>
      </c>
      <c r="G287" s="21">
        <f>'Fiscal Forecasts'!G$60-G$286</f>
        <v>1.7869999999999997</v>
      </c>
      <c r="H287" s="21">
        <f>'Fiscal Forecasts'!H$60-H$286</f>
        <v>1.679</v>
      </c>
      <c r="I287" s="21">
        <f>'Fiscal Forecasts'!I$60-I$286</f>
        <v>1.8149999999999999</v>
      </c>
      <c r="J287" s="21">
        <f>'Fiscal Forecasts'!J$60-J$286</f>
        <v>1.5669999999999999</v>
      </c>
      <c r="K287" s="21">
        <f>'Fiscal Forecasts'!K$60-K$286</f>
        <v>1.385</v>
      </c>
      <c r="L287" s="21">
        <f>'Fiscal Forecasts'!L$60-L$286</f>
        <v>1.2549999999999999</v>
      </c>
      <c r="M287" s="21">
        <f>'Fiscal Forecasts'!M$60-M$286</f>
        <v>1.2539999999999998</v>
      </c>
      <c r="N287" s="21">
        <f>'Fiscal Forecasts'!N$60-N$286</f>
        <v>1.3720000000000003</v>
      </c>
      <c r="O287" s="24">
        <f>'Fiscal Forecasts'!O$60-O$286</f>
        <v>1.4870000000000001</v>
      </c>
      <c r="P287" s="24">
        <f>'Fiscal Forecasts'!P$60-P$286</f>
        <v>1.4990000000000001</v>
      </c>
      <c r="Q287" s="24">
        <f>'Fiscal Forecasts'!Q$60-Q$286</f>
        <v>1.4630000000000001</v>
      </c>
      <c r="R287" s="24">
        <f>'Fiscal Forecasts'!R$60-R$286</f>
        <v>1.3679999999999999</v>
      </c>
      <c r="S287" s="24">
        <f>'Fiscal Forecasts'!S$60-S$286</f>
        <v>1.4100000000000001</v>
      </c>
      <c r="T287" s="26">
        <f t="shared" ref="T287:AC287" si="165">S$287</f>
        <v>1.4100000000000001</v>
      </c>
      <c r="U287" s="26">
        <f t="shared" si="165"/>
        <v>1.4100000000000001</v>
      </c>
      <c r="V287" s="26">
        <f t="shared" si="165"/>
        <v>1.4100000000000001</v>
      </c>
      <c r="W287" s="26">
        <f t="shared" si="165"/>
        <v>1.4100000000000001</v>
      </c>
      <c r="X287" s="26">
        <f t="shared" si="165"/>
        <v>1.4100000000000001</v>
      </c>
      <c r="Y287" s="26">
        <f t="shared" si="165"/>
        <v>1.4100000000000001</v>
      </c>
      <c r="Z287" s="26">
        <f t="shared" si="165"/>
        <v>1.4100000000000001</v>
      </c>
      <c r="AA287" s="26">
        <f t="shared" si="165"/>
        <v>1.4100000000000001</v>
      </c>
      <c r="AB287" s="26">
        <f t="shared" si="165"/>
        <v>1.4100000000000001</v>
      </c>
      <c r="AC287" s="26">
        <f t="shared" si="165"/>
        <v>1.4100000000000001</v>
      </c>
    </row>
    <row r="288" spans="1:29" x14ac:dyDescent="0.2">
      <c r="A288" s="31" t="s">
        <v>535</v>
      </c>
      <c r="F288" s="56">
        <f>SUM(F$286:F$287)</f>
        <v>1.595</v>
      </c>
      <c r="G288" s="56">
        <f t="shared" ref="G288:AC288" si="166">SUM(G$286:G$287)</f>
        <v>2.8889999999999998</v>
      </c>
      <c r="H288" s="56">
        <f t="shared" si="166"/>
        <v>2.96</v>
      </c>
      <c r="I288" s="56">
        <f t="shared" si="166"/>
        <v>2.839</v>
      </c>
      <c r="J288" s="56">
        <f t="shared" si="166"/>
        <v>2.609</v>
      </c>
      <c r="K288" s="56">
        <f t="shared" si="166"/>
        <v>2.073</v>
      </c>
      <c r="L288" s="56">
        <f t="shared" si="166"/>
        <v>1.9779999999999998</v>
      </c>
      <c r="M288" s="56">
        <f t="shared" si="166"/>
        <v>2.0579999999999998</v>
      </c>
      <c r="N288" s="56">
        <f t="shared" si="166"/>
        <v>2.2280000000000002</v>
      </c>
      <c r="O288" s="57">
        <f t="shared" si="166"/>
        <v>2.1960000000000002</v>
      </c>
      <c r="P288" s="57">
        <f t="shared" si="166"/>
        <v>2.2480000000000002</v>
      </c>
      <c r="Q288" s="57">
        <f t="shared" si="166"/>
        <v>2.246</v>
      </c>
      <c r="R288" s="57">
        <f t="shared" si="166"/>
        <v>2.1859999999999999</v>
      </c>
      <c r="S288" s="57">
        <f t="shared" si="166"/>
        <v>2.2650000000000001</v>
      </c>
      <c r="T288" s="58">
        <f t="shared" si="166"/>
        <v>2.298</v>
      </c>
      <c r="U288" s="58">
        <f t="shared" si="166"/>
        <v>2.3330000000000002</v>
      </c>
      <c r="V288" s="58">
        <f t="shared" ca="1" si="166"/>
        <v>2.3744338558687197</v>
      </c>
      <c r="W288" s="58">
        <f t="shared" ca="1" si="166"/>
        <v>2.4174079081692912</v>
      </c>
      <c r="X288" s="58">
        <f t="shared" ca="1" si="166"/>
        <v>2.4621542963946803</v>
      </c>
      <c r="Y288" s="58">
        <f t="shared" ca="1" si="166"/>
        <v>2.5083474014185416</v>
      </c>
      <c r="Z288" s="58">
        <f t="shared" ca="1" si="166"/>
        <v>2.5558931562994642</v>
      </c>
      <c r="AA288" s="58">
        <f t="shared" ca="1" si="166"/>
        <v>2.6048250120579439</v>
      </c>
      <c r="AB288" s="58">
        <f t="shared" ca="1" si="166"/>
        <v>2.65495401697848</v>
      </c>
      <c r="AC288" s="58">
        <f t="shared" ca="1" si="166"/>
        <v>2.7065414290351755</v>
      </c>
    </row>
    <row r="289" spans="1:29" x14ac:dyDescent="0.2">
      <c r="A289" s="31" t="s">
        <v>536</v>
      </c>
      <c r="B289" s="4" t="str">
        <f>$B$46</f>
        <v>From Fiscal Forecasts</v>
      </c>
      <c r="F289" s="23">
        <f>'Fiscal Forecasts'!F$43</f>
        <v>4.7229999999999999</v>
      </c>
      <c r="G289" s="23">
        <f>'Fiscal Forecasts'!G$43</f>
        <v>9.0380000000000003</v>
      </c>
      <c r="H289" s="23">
        <f>'Fiscal Forecasts'!H$43</f>
        <v>7.6950000000000003</v>
      </c>
      <c r="I289" s="23">
        <f>'Fiscal Forecasts'!I$43</f>
        <v>7.5410000000000004</v>
      </c>
      <c r="J289" s="23">
        <f>'Fiscal Forecasts'!J$43</f>
        <v>18.818000000000001</v>
      </c>
      <c r="K289" s="23">
        <f>'Fiscal Forecasts'!K$43</f>
        <v>10.018000000000001</v>
      </c>
      <c r="L289" s="23">
        <f>'Fiscal Forecasts'!L$43</f>
        <v>8.375</v>
      </c>
      <c r="M289" s="23">
        <f>'Fiscal Forecasts'!M$43</f>
        <v>7.7320000000000002</v>
      </c>
      <c r="N289" s="23">
        <f>'Fiscal Forecasts'!N$43</f>
        <v>8.2349999999999994</v>
      </c>
      <c r="O289" s="25">
        <f>'Fiscal Forecasts'!O$43</f>
        <v>7.5049999999999999</v>
      </c>
      <c r="P289" s="25">
        <f>'Fiscal Forecasts'!P$43</f>
        <v>7.6459999999999999</v>
      </c>
      <c r="Q289" s="25">
        <f>'Fiscal Forecasts'!Q$43</f>
        <v>8.0670000000000002</v>
      </c>
      <c r="R289" s="25">
        <f>'Fiscal Forecasts'!R$43</f>
        <v>8.01</v>
      </c>
      <c r="S289" s="25">
        <f>'Fiscal Forecasts'!S$43</f>
        <v>8.0939999999999994</v>
      </c>
      <c r="T289" s="11">
        <f ca="1">T$288+IF(T$4=OFFSET(Choices!$B$10,0,$C$1),AVERAGE((Q$289-Q$288)/Q$11,(R$289-R$288)/R$11,(S$289-S$288)/S$11),(S$289-S$288)/S$11)*T$11</f>
        <v>8.6499658981704002</v>
      </c>
      <c r="U289" s="11">
        <f ca="1">U$288+IF(U$4=OFFSET(Choices!$B$10,0,$C$1),AVERAGE((R$289-R$288)/R$11,(S$289-S$288)/S$11,(T$289-T$288)/T$11),(T$289-T$288)/T$11)*U$11</f>
        <v>8.9665523014468143</v>
      </c>
      <c r="V289" s="11">
        <f ca="1">V$288+IF(V$4=OFFSET(Choices!$B$10,0,$C$1),AVERAGE((S$289-S$288)/S$11,(T$289-T$288)/T$11,(U$289-U$288)/U$11),(U$289-U$288)/U$11)*V$11</f>
        <v>9.3057690933456101</v>
      </c>
      <c r="W289" s="11">
        <f ca="1">W$288+IF(W$4=OFFSET(Choices!$B$10,0,$C$1),AVERAGE((T$289-T$288)/T$11,(U$289-U$288)/U$11,(V$289-V$288)/V$11),(V$289-V$288)/V$11)*W$11</f>
        <v>9.6575953921694246</v>
      </c>
      <c r="X289" s="11">
        <f ca="1">X$288+IF(X$4=OFFSET(Choices!$B$10,0,$C$1),AVERAGE((U$289-U$288)/U$11,(V$289-V$288)/V$11,(W$289-W$288)/W$11),(W$289-W$288)/W$11)*X$11</f>
        <v>10.023931711699216</v>
      </c>
      <c r="Y289" s="11">
        <f ca="1">Y$288+IF(Y$4=OFFSET(Choices!$B$10,0,$C$1),AVERAGE((V$289-V$288)/V$11,(W$289-W$288)/W$11,(X$289-X$288)/X$11),(X$289-X$288)/X$11)*Y$11</f>
        <v>10.402112225327638</v>
      </c>
      <c r="Z289" s="11">
        <f ca="1">Z$288+IF(Z$4=OFFSET(Choices!$B$10,0,$C$1),AVERAGE((W$289-W$288)/W$11,(X$289-X$288)/X$11,(Y$289-Y$288)/Y$11),(Y$289-Y$288)/Y$11)*Z$11</f>
        <v>10.791366811968444</v>
      </c>
      <c r="AA289" s="11">
        <f ca="1">AA$288+IF(AA$4=OFFSET(Choices!$B$10,0,$C$1),AVERAGE((X$289-X$288)/X$11,(Y$289-Y$288)/Y$11,(Z$289-Z$288)/Z$11),(Z$289-Z$288)/Z$11)*AA$11</f>
        <v>11.191969333361511</v>
      </c>
      <c r="AB289" s="11">
        <f ca="1">AB$288+IF(AB$4=OFFSET(Choices!$B$10,0,$C$1),AVERAGE((Y$289-Y$288)/Y$11,(Z$289-Z$288)/Z$11,(AA$289-AA$288)/AA$11),(AA$289-AA$288)/AA$11)*AB$11</f>
        <v>11.602372851781357</v>
      </c>
      <c r="AC289" s="11">
        <f ca="1">AC$288+IF(AC$4=OFFSET(Choices!$B$10,0,$C$1),AVERAGE((Z$289-Z$288)/Z$11,(AA$289-AA$288)/AA$11,(AB$289-AB$288)/AB$11),(AB$289-AB$288)/AB$11)*AC$11</f>
        <v>12.024716272477679</v>
      </c>
    </row>
    <row r="290" spans="1:29" x14ac:dyDescent="0.2">
      <c r="A290" s="31"/>
      <c r="B290" s="4"/>
    </row>
    <row r="291" spans="1:29" x14ac:dyDescent="0.2">
      <c r="A291" s="31" t="s">
        <v>739</v>
      </c>
      <c r="B291" s="4" t="str">
        <f>$B$46</f>
        <v>From Fiscal Forecasts</v>
      </c>
      <c r="F291" s="23">
        <f>'Fiscal Forecasts'!F$177</f>
        <v>3.7570000000000001</v>
      </c>
      <c r="G291" s="23">
        <f>'Fiscal Forecasts'!G$177</f>
        <v>4.1440000000000001</v>
      </c>
      <c r="H291" s="23">
        <f>'Fiscal Forecasts'!H$177</f>
        <v>4.4210000000000003</v>
      </c>
      <c r="I291" s="23">
        <f>'Fiscal Forecasts'!I$177</f>
        <v>5.3860000000000001</v>
      </c>
      <c r="J291" s="23">
        <f>'Fiscal Forecasts'!J$177</f>
        <v>16.375</v>
      </c>
      <c r="K291" s="23">
        <f>'Fiscal Forecasts'!K$177</f>
        <v>5.585</v>
      </c>
      <c r="L291" s="23">
        <f>'Fiscal Forecasts'!L$177</f>
        <v>4.3940000000000001</v>
      </c>
      <c r="M291" s="23">
        <f>'Fiscal Forecasts'!M$177</f>
        <v>4.625</v>
      </c>
      <c r="N291" s="23">
        <f>'Fiscal Forecasts'!N$177</f>
        <v>4.8250000000000002</v>
      </c>
      <c r="O291" s="25">
        <f>'Fiscal Forecasts'!O$177</f>
        <v>5.2729999999999997</v>
      </c>
      <c r="P291" s="25">
        <f>'Fiscal Forecasts'!P$177</f>
        <v>5.32</v>
      </c>
      <c r="Q291" s="25">
        <f>'Fiscal Forecasts'!Q$177</f>
        <v>5.4820000000000002</v>
      </c>
      <c r="R291" s="25">
        <f>'Fiscal Forecasts'!R$177</f>
        <v>5.5839999999999996</v>
      </c>
      <c r="S291" s="25">
        <f>'Fiscal Forecasts'!S$177</f>
        <v>5.67</v>
      </c>
      <c r="T291" s="11">
        <f ca="1">IF(T$4=OFFSET(Choices!$B$10,0,$C$1),AVERAGE(Q$291/(SUM(Q$246,Q$270,Q$273,Q$276,Q$296,Q$299,Q$302,Q$308,Q$311)-SUM(Q$245,Q$269,Q$272,Q$275,Q$295,Q$298,Q$301,Q$307,Q$310)),R$291/(SUM(R$246,R$270,R$273,R$276,R$296,R$299,R$302,R$308,R$311)-SUM(R$245,R$269,R$272,R$275,R$295,R$298,R$301,R$307,R$310)),S$291/(SUM(S$246,S$270,S$273,S$276,S$296,S$299,S$302,S$308,S$311)-SUM(S$245,S$269,S$272,S$275,S$295,S$298,S$301,S$307,S$310))),S$291/(SUM(S$246,S$270,S$273,S$276,S$296,S$299,S$302,S$308,S$311)-SUM(S$245,S$269,S$272,S$275,S$295,S$298,S$301,S$307,S$310)))*(SUM(T$246,T$270,T$273,T$276,T$296,T$299,T$302,T$308,T$311)-SUM(T$245,T$269,T$272,T$275,T$295,T$298,T$301,T$307,T$310))</f>
        <v>6.0742658274489099</v>
      </c>
      <c r="U291" s="11">
        <f ca="1">IF(U$4=OFFSET(Choices!$B$10,0,$C$1),AVERAGE(R$291/(SUM(R$246,R$270,R$273,R$276,R$296,R$299,R$302,R$308,R$311)-SUM(R$245,R$269,R$272,R$275,R$295,R$298,R$301,R$307,R$310)),S$291/(SUM(S$246,S$270,S$273,S$276,S$296,S$299,S$302,S$308,S$311)-SUM(S$245,S$269,S$272,S$275,S$295,S$298,S$301,S$307,S$310)),T$291/(SUM(T$246,T$270,T$273,T$276,T$296,T$299,T$302,T$308,T$311)-SUM(T$245,T$269,T$272,T$275,T$295,T$298,T$301,T$307,T$310))),T$291/(SUM(T$246,T$270,T$273,T$276,T$296,T$299,T$302,T$308,T$311)-SUM(T$245,T$269,T$272,T$275,T$295,T$298,T$301,T$307,T$310)))*(SUM(U$246,U$270,U$273,U$276,U$296,U$299,U$302,U$308,U$311)-SUM(U$245,U$269,U$272,U$275,U$295,U$298,U$301,U$307,U$310))</f>
        <v>6.3359833860693531</v>
      </c>
      <c r="V291" s="11">
        <f ca="1">IF(V$4=OFFSET(Choices!$B$10,0,$C$1),AVERAGE(S$291/(SUM(S$246,S$270,S$273,S$276,S$296,S$299,S$302,S$308,S$311)-SUM(S$245,S$269,S$272,S$275,S$295,S$298,S$301,S$307,S$310)),T$291/(SUM(T$246,T$270,T$273,T$276,T$296,T$299,T$302,T$308,T$311)-SUM(T$245,T$269,T$272,T$275,T$295,T$298,T$301,T$307,T$310)),U$291/(SUM(U$246,U$270,U$273,U$276,U$296,U$299,U$302,U$308,U$311)-SUM(U$245,U$269,U$272,U$275,U$295,U$298,U$301,U$307,U$310))),U$291/(SUM(U$246,U$270,U$273,U$276,U$296,U$299,U$302,U$308,U$311)-SUM(U$245,U$269,U$272,U$275,U$295,U$298,U$301,U$307,U$310)))*(SUM(V$246,V$270,V$273,V$276,V$296,V$299,V$302,V$308,V$311)-SUM(V$245,V$269,V$272,V$275,V$295,V$298,V$301,V$307,V$310))</f>
        <v>6.6127775890319747</v>
      </c>
      <c r="W291" s="11">
        <f ca="1">IF(W$4=OFFSET(Choices!$B$10,0,$C$1),AVERAGE(T$291/(SUM(T$246,T$270,T$273,T$276,T$296,T$299,T$302,T$308,T$311)-SUM(T$245,T$269,T$272,T$275,T$295,T$298,T$301,T$307,T$310)),U$291/(SUM(U$246,U$270,U$273,U$276,U$296,U$299,U$302,U$308,U$311)-SUM(U$245,U$269,U$272,U$275,U$295,U$298,U$301,U$307,U$310)),V$291/(SUM(V$246,V$270,V$273,V$276,V$296,V$299,V$302,V$308,V$311)-SUM(V$245,V$269,V$272,V$275,V$295,V$298,V$301,V$307,V$310))),V$291/(SUM(V$246,V$270,V$273,V$276,V$296,V$299,V$302,V$308,V$311)-SUM(V$245,V$269,V$272,V$275,V$295,V$298,V$301,V$307,V$310)))*(SUM(W$246,W$270,W$273,W$276,W$296,W$299,W$302,W$308,W$311)-SUM(W$245,W$269,W$272,W$275,W$295,W$298,W$301,W$307,W$310))</f>
        <v>6.9001429429405476</v>
      </c>
      <c r="X291" s="11">
        <f ca="1">IF(X$4=OFFSET(Choices!$B$10,0,$C$1),AVERAGE(U$291/(SUM(U$246,U$270,U$273,U$276,U$296,U$299,U$302,U$308,U$311)-SUM(U$245,U$269,U$272,U$275,U$295,U$298,U$301,U$307,U$310)),V$291/(SUM(V$246,V$270,V$273,V$276,V$296,V$299,V$302,V$308,V$311)-SUM(V$245,V$269,V$272,V$275,V$295,V$298,V$301,V$307,V$310)),W$291/(SUM(W$246,W$270,W$273,W$276,W$296,W$299,W$302,W$308,W$311)-SUM(W$245,W$269,W$272,W$275,W$295,W$298,W$301,W$307,W$310))),W$291/(SUM(W$246,W$270,W$273,W$276,W$296,W$299,W$302,W$308,W$311)-SUM(W$245,W$269,W$272,W$275,W$295,W$298,W$301,W$307,W$310)))*(SUM(X$246,X$270,X$273,X$276,X$296,X$299,X$302,X$308,X$311)-SUM(X$245,X$269,X$272,X$275,X$295,X$298,X$301,X$307,X$310))</f>
        <v>7.1995848419624489</v>
      </c>
      <c r="Y291" s="11">
        <f ca="1">IF(Y$4=OFFSET(Choices!$B$10,0,$C$1),AVERAGE(V$291/(SUM(V$246,V$270,V$273,V$276,V$296,V$299,V$302,V$308,V$311)-SUM(V$245,V$269,V$272,V$275,V$295,V$298,V$301,V$307,V$310)),W$291/(SUM(W$246,W$270,W$273,W$276,W$296,W$299,W$302,W$308,W$311)-SUM(W$245,W$269,W$272,W$275,W$295,W$298,W$301,W$307,W$310)),X$291/(SUM(X$246,X$270,X$273,X$276,X$296,X$299,X$302,X$308,X$311)-SUM(X$245,X$269,X$272,X$275,X$295,X$298,X$301,X$307,X$310))),X$291/(SUM(X$246,X$270,X$273,X$276,X$296,X$299,X$302,X$308,X$311)-SUM(X$245,X$269,X$272,X$275,X$295,X$298,X$301,X$307,X$310)))*(SUM(Y$246,Y$270,Y$273,Y$276,Y$296,Y$299,Y$302,Y$308,Y$311)-SUM(Y$245,Y$269,Y$272,Y$275,Y$295,Y$298,Y$301,Y$307,Y$310))</f>
        <v>7.5086763508600614</v>
      </c>
      <c r="Z291" s="11">
        <f ca="1">IF(Z$4=OFFSET(Choices!$B$10,0,$C$1),AVERAGE(W$291/(SUM(W$246,W$270,W$273,W$276,W$296,W$299,W$302,W$308,W$311)-SUM(W$245,W$269,W$272,W$275,W$295,W$298,W$301,W$307,W$310)),X$291/(SUM(X$246,X$270,X$273,X$276,X$296,X$299,X$302,X$308,X$311)-SUM(X$245,X$269,X$272,X$275,X$295,X$298,X$301,X$307,X$310)),Y$291/(SUM(Y$246,Y$270,Y$273,Y$276,Y$296,Y$299,Y$302,Y$308,Y$311)-SUM(Y$245,Y$269,Y$272,Y$275,Y$295,Y$298,Y$301,Y$307,Y$310))),Y$291/(SUM(Y$246,Y$270,Y$273,Y$276,Y$296,Y$299,Y$302,Y$308,Y$311)-SUM(Y$245,Y$269,Y$272,Y$275,Y$295,Y$298,Y$301,Y$307,Y$310)))*(SUM(Z$246,Z$270,Z$273,Z$276,Z$296,Z$299,Z$302,Z$308,Z$311)-SUM(Z$245,Z$269,Z$272,Z$275,Z$295,Z$298,Z$301,Z$307,Z$310))</f>
        <v>7.8268053986741863</v>
      </c>
      <c r="AA291" s="11">
        <f ca="1">IF(AA$4=OFFSET(Choices!$B$10,0,$C$1),AVERAGE(X$291/(SUM(X$246,X$270,X$273,X$276,X$296,X$299,X$302,X$308,X$311)-SUM(X$245,X$269,X$272,X$275,X$295,X$298,X$301,X$307,X$310)),Y$291/(SUM(Y$246,Y$270,Y$273,Y$276,Y$296,Y$299,Y$302,Y$308,Y$311)-SUM(Y$245,Y$269,Y$272,Y$275,Y$295,Y$298,Y$301,Y$307,Y$310)),Z$291/(SUM(Z$246,Z$270,Z$273,Z$276,Z$296,Z$299,Z$302,Z$308,Z$311)-SUM(Z$245,Z$269,Z$272,Z$275,Z$295,Z$298,Z$301,Z$307,Z$310))),Z$291/(SUM(Z$246,Z$270,Z$273,Z$276,Z$296,Z$299,Z$302,Z$308,Z$311)-SUM(Z$245,Z$269,Z$272,Z$275,Z$295,Z$298,Z$301,Z$307,Z$310)))*(SUM(AA$246,AA$270,AA$273,AA$276,AA$296,AA$299,AA$302,AA$308,AA$311)-SUM(AA$245,AA$269,AA$272,AA$275,AA$295,AA$298,AA$301,AA$307,AA$310))</f>
        <v>8.1539174652330182</v>
      </c>
      <c r="AB291" s="11">
        <f ca="1">IF(AB$4=OFFSET(Choices!$B$10,0,$C$1),AVERAGE(Y$291/(SUM(Y$246,Y$270,Y$273,Y$276,Y$296,Y$299,Y$302,Y$308,Y$311)-SUM(Y$245,Y$269,Y$272,Y$275,Y$295,Y$298,Y$301,Y$307,Y$310)),Z$291/(SUM(Z$246,Z$270,Z$273,Z$276,Z$296,Z$299,Z$302,Z$308,Z$311)-SUM(Z$245,Z$269,Z$272,Z$275,Z$295,Z$298,Z$301,Z$307,Z$310)),AA$291/(SUM(AA$246,AA$270,AA$273,AA$276,AA$296,AA$299,AA$302,AA$308,AA$311)-SUM(AA$245,AA$269,AA$272,AA$275,AA$295,AA$298,AA$301,AA$307,AA$310))),AA$291/(SUM(AA$246,AA$270,AA$273,AA$276,AA$296,AA$299,AA$302,AA$308,AA$311)-SUM(AA$245,AA$269,AA$272,AA$275,AA$295,AA$298,AA$301,AA$307,AA$310)))*(SUM(AB$246,AB$270,AB$273,AB$276,AB$296,AB$299,AB$302,AB$308,AB$311)-SUM(AB$245,AB$269,AB$272,AB$275,AB$295,AB$298,AB$301,AB$307,AB$310))</f>
        <v>8.4884481952958737</v>
      </c>
      <c r="AC291" s="11">
        <f ca="1">IF(AC$4=OFFSET(Choices!$B$10,0,$C$1),AVERAGE(Z$291/(SUM(Z$246,Z$270,Z$273,Z$276,Z$296,Z$299,Z$302,Z$308,Z$311)-SUM(Z$245,Z$269,Z$272,Z$275,Z$295,Z$298,Z$301,Z$307,Z$310)),AA$291/(SUM(AA$246,AA$270,AA$273,AA$276,AA$296,AA$299,AA$302,AA$308,AA$311)-SUM(AA$245,AA$269,AA$272,AA$275,AA$295,AA$298,AA$301,AA$307,AA$310)),AB$291/(SUM(AB$246,AB$270,AB$273,AB$276,AB$296,AB$299,AB$302,AB$308,AB$311)-SUM(AB$245,AB$269,AB$272,AB$275,AB$295,AB$298,AB$301,AB$307,AB$310))),AB$291/(SUM(AB$246,AB$270,AB$273,AB$276,AB$296,AB$299,AB$302,AB$308,AB$311)-SUM(AB$245,AB$269,AB$272,AB$275,AB$295,AB$298,AB$301,AB$307,AB$310)))*(SUM(AC$246,AC$270,AC$273,AC$276,AC$296,AC$299,AC$302,AC$308,AC$311)-SUM(AC$245,AC$269,AC$272,AC$275,AC$295,AC$298,AC$301,AC$307,AC$310))</f>
        <v>8.8328519244435846</v>
      </c>
    </row>
    <row r="292" spans="1:29" x14ac:dyDescent="0.2">
      <c r="A292" s="31" t="s">
        <v>841</v>
      </c>
      <c r="B292" s="4" t="str">
        <f>$B$46</f>
        <v>From Fiscal Forecasts</v>
      </c>
      <c r="F292" s="23">
        <f>'Fiscal Forecasts'!F$178</f>
        <v>4.9569999999999999</v>
      </c>
      <c r="G292" s="23">
        <f>'Fiscal Forecasts'!G$178</f>
        <v>7.2619999999999996</v>
      </c>
      <c r="H292" s="23">
        <f>'Fiscal Forecasts'!H$178</f>
        <v>5.859</v>
      </c>
      <c r="I292" s="23">
        <f>'Fiscal Forecasts'!I$178</f>
        <v>5.9669999999999996</v>
      </c>
      <c r="J292" s="23">
        <f>'Fiscal Forecasts'!J$178</f>
        <v>6.1959999999999997</v>
      </c>
      <c r="K292" s="23">
        <f>'Fiscal Forecasts'!K$178</f>
        <v>8.2260000000000009</v>
      </c>
      <c r="L292" s="23">
        <f>'Fiscal Forecasts'!L$178</f>
        <v>7.5940000000000003</v>
      </c>
      <c r="M292" s="23">
        <f>'Fiscal Forecasts'!M$178</f>
        <v>6.8339999999999996</v>
      </c>
      <c r="N292" s="23">
        <f>'Fiscal Forecasts'!N$178</f>
        <v>7.01</v>
      </c>
      <c r="O292" s="25">
        <f>'Fiscal Forecasts'!O$178</f>
        <v>6.5369999999999999</v>
      </c>
      <c r="P292" s="25">
        <f>'Fiscal Forecasts'!P$178</f>
        <v>6.8</v>
      </c>
      <c r="Q292" s="25">
        <f>'Fiscal Forecasts'!Q$178</f>
        <v>7.0880000000000001</v>
      </c>
      <c r="R292" s="25">
        <f>'Fiscal Forecasts'!R$178</f>
        <v>7.0439999999999996</v>
      </c>
      <c r="S292" s="25">
        <f>'Fiscal Forecasts'!S$178</f>
        <v>7.0579999999999998</v>
      </c>
      <c r="T292" s="11">
        <f ca="1">IF(T$4=OFFSET(Choices!$B$10,0,$C$1),AVERAGE(Q$292/(Q$289-Q$288),R$292/(R$289-R$288),S$292/(S$289-S$288)),S$292/(S$289-S$288))*(T$289-T$288)</f>
        <v>7.7027761472121092</v>
      </c>
      <c r="U292" s="11">
        <f ca="1">IF(U$4=OFFSET(Choices!$B$10,0,$C$1),AVERAGE(R$292/(R$289-R$288),S$292/(S$289-S$288),T$292/(T$289-T$288)),T$292/(T$289-T$288))*(U$289-U$288)</f>
        <v>8.0442447673697774</v>
      </c>
      <c r="V292" s="11">
        <f ca="1">IF(V$4=OFFSET(Choices!$B$10,0,$C$1),AVERAGE(S$292/(S$289-S$288),T$292/(T$289-T$288),U$292/(U$289-U$288)),U$292/(U$289-U$288))*(V$289-V$288)</f>
        <v>8.4053542779482182</v>
      </c>
      <c r="W292" s="11">
        <f ca="1">IF(W$4=OFFSET(Choices!$B$10,0,$C$1),AVERAGE(T$292/(T$289-T$288),U$292/(U$289-U$288),V$292/(V$289-V$288)),V$292/(V$289-V$288))*(W$289-W$288)</f>
        <v>8.7798871006476222</v>
      </c>
      <c r="X292" s="11">
        <f ca="1">IF(X$4=OFFSET(Choices!$B$10,0,$C$1),AVERAGE(U$292/(U$289-U$288),V$292/(V$289-V$288),W$292/(W$289-W$288)),W$292/(W$289-W$288))*(X$289-X$288)</f>
        <v>9.1698664065422957</v>
      </c>
      <c r="Y292" s="11">
        <f ca="1">IF(Y$4=OFFSET(Choices!$B$10,0,$C$1),AVERAGE(V$292/(V$289-V$288),W$292/(W$289-W$288),X$292/(X$289-X$288)),X$292/(X$289-X$288))*(Y$289-Y$288)</f>
        <v>9.5724543191931719</v>
      </c>
      <c r="Z292" s="11">
        <f ca="1">IF(Z$4=OFFSET(Choices!$B$10,0,$C$1),AVERAGE(W$292/(W$289-W$288),X$292/(X$289-X$288),Y$292/(Y$289-Y$288)),Y$292/(Y$289-Y$288))*(Z$289-Z$288)</f>
        <v>9.9868310146552624</v>
      </c>
      <c r="AA292" s="11">
        <f ca="1">IF(AA$4=OFFSET(Choices!$B$10,0,$C$1),AVERAGE(X$292/(X$289-X$288),Y$292/(Y$289-Y$288),Z$292/(Z$289-Z$288)),Z$292/(Z$289-Z$288))*(AA$289-AA$288)</f>
        <v>10.413288029436238</v>
      </c>
      <c r="AB292" s="11">
        <f ca="1">IF(AB$4=OFFSET(Choices!$B$10,0,$C$1),AVERAGE(Y$292/(Y$289-Y$288),Z$292/(Z$289-Z$288),AA$292/(AA$289-AA$288)),AA$292/(AA$289-AA$288))*(AB$289-AB$288)</f>
        <v>10.85017858796872</v>
      </c>
      <c r="AC292" s="11">
        <f ca="1">IF(AC$4=OFFSET(Choices!$B$10,0,$C$1),AVERAGE(Z$292/(Z$289-Z$288),AA$292/(AA$289-AA$288),AB$292/(AB$289-AB$288)),AB$292/(AB$289-AB$288))*(AC$289-AC$288)</f>
        <v>11.29977963834707</v>
      </c>
    </row>
    <row r="293" spans="1:29" x14ac:dyDescent="0.2">
      <c r="A293" s="31" t="s">
        <v>741</v>
      </c>
      <c r="B293" s="4" t="str">
        <f>$B$46</f>
        <v>From Fiscal Forecasts</v>
      </c>
      <c r="F293" s="23">
        <f>'Fiscal Forecasts'!F$179</f>
        <v>-3.08</v>
      </c>
      <c r="G293" s="23">
        <f>'Fiscal Forecasts'!G$179</f>
        <v>-2.3719999999999999</v>
      </c>
      <c r="H293" s="23">
        <f>'Fiscal Forecasts'!H$179</f>
        <v>-2.4590000000000001</v>
      </c>
      <c r="I293" s="23">
        <f>'Fiscal Forecasts'!I$179</f>
        <v>-3.72</v>
      </c>
      <c r="J293" s="23">
        <f>'Fiscal Forecasts'!J$179</f>
        <v>-3.1030000000000002</v>
      </c>
      <c r="K293" s="23">
        <f>'Fiscal Forecasts'!K$179</f>
        <v>-2.6139999999999999</v>
      </c>
      <c r="L293" s="23">
        <f>'Fiscal Forecasts'!L$179</f>
        <v>-2.573</v>
      </c>
      <c r="M293" s="23">
        <f>'Fiscal Forecasts'!M$179</f>
        <v>-2.6659999999999999</v>
      </c>
      <c r="N293" s="23">
        <f>'Fiscal Forecasts'!N$179</f>
        <v>-2.698</v>
      </c>
      <c r="O293" s="25">
        <f>'Fiscal Forecasts'!O$179</f>
        <v>-2.871</v>
      </c>
      <c r="P293" s="25">
        <f>'Fiscal Forecasts'!P$179</f>
        <v>-2.9420000000000002</v>
      </c>
      <c r="Q293" s="25">
        <f>'Fiscal Forecasts'!Q$179</f>
        <v>-2.8940000000000001</v>
      </c>
      <c r="R293" s="25">
        <f>'Fiscal Forecasts'!R$179</f>
        <v>-2.887</v>
      </c>
      <c r="S293" s="25">
        <f>'Fiscal Forecasts'!S$179</f>
        <v>-2.94</v>
      </c>
      <c r="T293" s="11">
        <f t="shared" ref="T293:AC293" ca="1" si="167">SUM(T$246,T$270,T$273,T$276,T$289,T$296,T$299,T$302,T$308,T$311)-SUM(T$245,T$269,T$272,T$275,T$288,T$295,T$298,T$301,T$307,T$310)-SUM(T$291,T$292)</f>
        <v>-3.1675839859757371</v>
      </c>
      <c r="U293" s="11">
        <f t="shared" ca="1" si="167"/>
        <v>-3.3057442368619281</v>
      </c>
      <c r="V293" s="11">
        <f t="shared" ca="1" si="167"/>
        <v>-3.4518581725109083</v>
      </c>
      <c r="W293" s="11">
        <f t="shared" ca="1" si="167"/>
        <v>-3.6034878728637967</v>
      </c>
      <c r="X293" s="11">
        <f t="shared" ca="1" si="167"/>
        <v>-3.761438388394307</v>
      </c>
      <c r="Y293" s="11">
        <f t="shared" ca="1" si="167"/>
        <v>-3.9244861694657551</v>
      </c>
      <c r="Z293" s="11">
        <f t="shared" ca="1" si="167"/>
        <v>-4.0923043798012593</v>
      </c>
      <c r="AA293" s="11">
        <f t="shared" ca="1" si="167"/>
        <v>-4.264927838557302</v>
      </c>
      <c r="AB293" s="11">
        <f t="shared" ca="1" si="167"/>
        <v>-4.4415998676122932</v>
      </c>
      <c r="AC293" s="11">
        <f t="shared" ca="1" si="167"/>
        <v>-4.6234538437296067</v>
      </c>
    </row>
    <row r="294" spans="1:29" x14ac:dyDescent="0.2">
      <c r="A294" s="31"/>
      <c r="B294" s="4"/>
    </row>
    <row r="295" spans="1:29" x14ac:dyDescent="0.2">
      <c r="A295" s="31" t="s">
        <v>540</v>
      </c>
      <c r="B295" s="4" t="str">
        <f>$B$46</f>
        <v>From Fiscal Forecasts</v>
      </c>
      <c r="F295" s="23">
        <f>'Fiscal Forecasts'!F$61</f>
        <v>0.438</v>
      </c>
      <c r="G295" s="23">
        <f>'Fiscal Forecasts'!G$61</f>
        <v>0.54100000000000004</v>
      </c>
      <c r="H295" s="23">
        <f>'Fiscal Forecasts'!H$61</f>
        <v>0.53400000000000003</v>
      </c>
      <c r="I295" s="23">
        <f>'Fiscal Forecasts'!I$61</f>
        <v>0.50700000000000001</v>
      </c>
      <c r="J295" s="23">
        <f>'Fiscal Forecasts'!J$61</f>
        <v>0.70599999999999996</v>
      </c>
      <c r="K295" s="23">
        <f>'Fiscal Forecasts'!K$61</f>
        <v>0.64800000000000002</v>
      </c>
      <c r="L295" s="23">
        <f>'Fiscal Forecasts'!L$61</f>
        <v>0.65900000000000003</v>
      </c>
      <c r="M295" s="23">
        <f>'Fiscal Forecasts'!M$61</f>
        <v>0.67600000000000005</v>
      </c>
      <c r="N295" s="23">
        <f>'Fiscal Forecasts'!N$61</f>
        <v>0.66700000000000004</v>
      </c>
      <c r="O295" s="25">
        <f>'Fiscal Forecasts'!O$61</f>
        <v>0.82199999999999995</v>
      </c>
      <c r="P295" s="25">
        <f>'Fiscal Forecasts'!P$61</f>
        <v>0.67200000000000004</v>
      </c>
      <c r="Q295" s="25">
        <f>'Fiscal Forecasts'!Q$61</f>
        <v>0.65500000000000003</v>
      </c>
      <c r="R295" s="25">
        <f>'Fiscal Forecasts'!R$61</f>
        <v>0.67200000000000004</v>
      </c>
      <c r="S295" s="25">
        <f>'Fiscal Forecasts'!S$61</f>
        <v>0.66100000000000003</v>
      </c>
      <c r="T295" s="11">
        <f t="shared" ref="T295:AC295" si="168">S$295</f>
        <v>0.66100000000000003</v>
      </c>
      <c r="U295" s="11">
        <f t="shared" si="168"/>
        <v>0.66100000000000003</v>
      </c>
      <c r="V295" s="11">
        <f t="shared" si="168"/>
        <v>0.66100000000000003</v>
      </c>
      <c r="W295" s="11">
        <f t="shared" si="168"/>
        <v>0.66100000000000003</v>
      </c>
      <c r="X295" s="11">
        <f t="shared" si="168"/>
        <v>0.66100000000000003</v>
      </c>
      <c r="Y295" s="11">
        <f t="shared" si="168"/>
        <v>0.66100000000000003</v>
      </c>
      <c r="Z295" s="11">
        <f t="shared" si="168"/>
        <v>0.66100000000000003</v>
      </c>
      <c r="AA295" s="11">
        <f t="shared" si="168"/>
        <v>0.66100000000000003</v>
      </c>
      <c r="AB295" s="11">
        <f t="shared" si="168"/>
        <v>0.66100000000000003</v>
      </c>
      <c r="AC295" s="11">
        <f t="shared" si="168"/>
        <v>0.66100000000000003</v>
      </c>
    </row>
    <row r="296" spans="1:29" x14ac:dyDescent="0.2">
      <c r="A296" s="31" t="s">
        <v>541</v>
      </c>
      <c r="B296" s="4" t="str">
        <f>$B$46</f>
        <v>From Fiscal Forecasts</v>
      </c>
      <c r="F296" s="23">
        <f>'Fiscal Forecasts'!F$44</f>
        <v>1.2330000000000001</v>
      </c>
      <c r="G296" s="23">
        <f>'Fiscal Forecasts'!G$44</f>
        <v>1.4590000000000001</v>
      </c>
      <c r="H296" s="23">
        <f>'Fiscal Forecasts'!H$44</f>
        <v>1.4870000000000001</v>
      </c>
      <c r="I296" s="23">
        <f>'Fiscal Forecasts'!I$44</f>
        <v>1.373</v>
      </c>
      <c r="J296" s="23">
        <f>'Fiscal Forecasts'!J$44</f>
        <v>1.603</v>
      </c>
      <c r="K296" s="23">
        <f>'Fiscal Forecasts'!K$44</f>
        <v>1.5880000000000001</v>
      </c>
      <c r="L296" s="23">
        <f>'Fiscal Forecasts'!L$44</f>
        <v>1.579</v>
      </c>
      <c r="M296" s="23">
        <f>'Fiscal Forecasts'!M$44</f>
        <v>1.7030000000000001</v>
      </c>
      <c r="N296" s="23">
        <f>'Fiscal Forecasts'!N$44</f>
        <v>1.74</v>
      </c>
      <c r="O296" s="25">
        <f>'Fiscal Forecasts'!O$44</f>
        <v>1.9930000000000001</v>
      </c>
      <c r="P296" s="25">
        <f>'Fiscal Forecasts'!P$44</f>
        <v>1.877</v>
      </c>
      <c r="Q296" s="25">
        <f>'Fiscal Forecasts'!Q$44</f>
        <v>1.847</v>
      </c>
      <c r="R296" s="25">
        <f>'Fiscal Forecasts'!R$44</f>
        <v>1.8839999999999999</v>
      </c>
      <c r="S296" s="25">
        <f>'Fiscal Forecasts'!S$44</f>
        <v>1.879</v>
      </c>
      <c r="T296" s="11">
        <f ca="1">T$295+IF(T$4=OFFSET(Choices!$B$10,0,$C$1),AVERAGE((Q$296-Q$295)/Q$11,(R$296-R$295)/R$11,(S$296-S$295)/S$11),(S$296-S$295)/S$11)*T$11</f>
        <v>1.9772297990667158</v>
      </c>
      <c r="U296" s="11">
        <f ca="1">U$295+IF(U$4=OFFSET(Choices!$B$10,0,$C$1),AVERAGE((R$296-R$295)/R$11,(S$296-S$295)/S$11,(T$296-T$295)/T$11),(T$296-T$295)/T$11)*U$11</f>
        <v>2.0355790441580961</v>
      </c>
      <c r="V296" s="11">
        <f ca="1">V$295+IF(V$4=OFFSET(Choices!$B$10,0,$C$1),AVERAGE((S$296-S$295)/S$11,(T$296-T$295)/T$11,(U$296-U$295)/U$11),(U$296-U$295)/U$11)*V$11</f>
        <v>2.0972844721058843</v>
      </c>
      <c r="W296" s="11">
        <f ca="1">W$295+IF(W$4=OFFSET(Choices!$B$10,0,$C$1),AVERAGE((T$296-T$295)/T$11,(U$296-U$295)/U$11,(V$296-V$295)/V$11),(V$296-V$295)/V$11)*W$11</f>
        <v>2.1612836397493513</v>
      </c>
      <c r="X296" s="11">
        <f ca="1">X$295+IF(X$4=OFFSET(Choices!$B$10,0,$C$1),AVERAGE((U$296-U$295)/U$11,(V$296-V$295)/V$11,(W$296-W$295)/W$11),(W$296-W$295)/W$11)*X$11</f>
        <v>2.2279222611538829</v>
      </c>
      <c r="Y296" s="11">
        <f ca="1">Y$295+IF(Y$4=OFFSET(Choices!$B$10,0,$C$1),AVERAGE((V$296-V$295)/V$11,(W$296-W$295)/W$11,(X$296-X$295)/X$11),(X$296-X$295)/X$11)*Y$11</f>
        <v>2.2967154075790113</v>
      </c>
      <c r="Z296" s="11">
        <f ca="1">Z$295+IF(Z$4=OFFSET(Choices!$B$10,0,$C$1),AVERAGE((W$296-W$295)/W$11,(X$296-X$295)/X$11,(Y$296-Y$295)/Y$11),(Y$296-Y$295)/Y$11)*Z$11</f>
        <v>2.3675229897003485</v>
      </c>
      <c r="AA296" s="11">
        <f ca="1">AA$295+IF(AA$4=OFFSET(Choices!$B$10,0,$C$1),AVERAGE((X$296-X$295)/X$11,(Y$296-Y$295)/Y$11,(Z$296-Z$295)/Z$11),(Z$296-Z$295)/Z$11)*AA$11</f>
        <v>2.4403948244970683</v>
      </c>
      <c r="AB296" s="11">
        <f ca="1">AB$295+IF(AB$4=OFFSET(Choices!$B$10,0,$C$1),AVERAGE((Y$296-Y$295)/Y$11,(Z$296-Z$295)/Z$11,(AA$296-AA$295)/AA$11),(AA$296-AA$295)/AA$11)*AB$11</f>
        <v>2.5150495153619299</v>
      </c>
      <c r="AC296" s="11">
        <f ca="1">AC$295+IF(AC$4=OFFSET(Choices!$B$10,0,$C$1),AVERAGE((Z$296-Z$295)/Z$11,(AA$296-AA$295)/AA$11,(AB$296-AB$295)/AB$11),(AB$296-AB$295)/AB$11)*AC$11</f>
        <v>2.5918761410991795</v>
      </c>
    </row>
    <row r="297" spans="1:29" x14ac:dyDescent="0.2">
      <c r="A297" s="31"/>
      <c r="B297" s="4"/>
    </row>
    <row r="298" spans="1:29" x14ac:dyDescent="0.2">
      <c r="A298" s="31" t="s">
        <v>542</v>
      </c>
      <c r="B298" s="4" t="str">
        <f>$B$46</f>
        <v>From Fiscal Forecasts</v>
      </c>
      <c r="F298" s="23">
        <f>'Fiscal Forecasts'!F$62</f>
        <v>0.52300000000000002</v>
      </c>
      <c r="G298" s="23">
        <f>'Fiscal Forecasts'!G$62</f>
        <v>0.56100000000000005</v>
      </c>
      <c r="H298" s="23">
        <f>'Fiscal Forecasts'!H$62</f>
        <v>0.58599999999999997</v>
      </c>
      <c r="I298" s="23">
        <f>'Fiscal Forecasts'!I$62</f>
        <v>0.63</v>
      </c>
      <c r="J298" s="23">
        <f>'Fiscal Forecasts'!J$62</f>
        <v>0.74099999999999999</v>
      </c>
      <c r="K298" s="23">
        <f>'Fiscal Forecasts'!K$62</f>
        <v>0.86299999999999999</v>
      </c>
      <c r="L298" s="23">
        <f>'Fiscal Forecasts'!L$62</f>
        <v>0.80400000000000005</v>
      </c>
      <c r="M298" s="23">
        <f>'Fiscal Forecasts'!M$62</f>
        <v>0.84199999999999997</v>
      </c>
      <c r="N298" s="23">
        <f>'Fiscal Forecasts'!N$62</f>
        <v>0.77800000000000002</v>
      </c>
      <c r="O298" s="25">
        <f>'Fiscal Forecasts'!O$62</f>
        <v>0.82799999999999996</v>
      </c>
      <c r="P298" s="25">
        <f>'Fiscal Forecasts'!P$62</f>
        <v>0.79700000000000004</v>
      </c>
      <c r="Q298" s="25">
        <f>'Fiscal Forecasts'!Q$62</f>
        <v>0.79100000000000004</v>
      </c>
      <c r="R298" s="25">
        <f>'Fiscal Forecasts'!R$62</f>
        <v>0.77700000000000002</v>
      </c>
      <c r="S298" s="25">
        <f>'Fiscal Forecasts'!S$62</f>
        <v>0.78900000000000003</v>
      </c>
      <c r="T298" s="11">
        <f t="shared" ref="T298:AC298" si="169">S$298</f>
        <v>0.78900000000000003</v>
      </c>
      <c r="U298" s="11">
        <f t="shared" si="169"/>
        <v>0.78900000000000003</v>
      </c>
      <c r="V298" s="11">
        <f t="shared" si="169"/>
        <v>0.78900000000000003</v>
      </c>
      <c r="W298" s="11">
        <f t="shared" si="169"/>
        <v>0.78900000000000003</v>
      </c>
      <c r="X298" s="11">
        <f t="shared" si="169"/>
        <v>0.78900000000000003</v>
      </c>
      <c r="Y298" s="11">
        <f t="shared" si="169"/>
        <v>0.78900000000000003</v>
      </c>
      <c r="Z298" s="11">
        <f t="shared" si="169"/>
        <v>0.78900000000000003</v>
      </c>
      <c r="AA298" s="11">
        <f t="shared" si="169"/>
        <v>0.78900000000000003</v>
      </c>
      <c r="AB298" s="11">
        <f t="shared" si="169"/>
        <v>0.78900000000000003</v>
      </c>
      <c r="AC298" s="11">
        <f t="shared" si="169"/>
        <v>0.78900000000000003</v>
      </c>
    </row>
    <row r="299" spans="1:29" x14ac:dyDescent="0.2">
      <c r="A299" s="31" t="s">
        <v>543</v>
      </c>
      <c r="B299" s="4" t="str">
        <f>$B$46</f>
        <v>From Fiscal Forecasts</v>
      </c>
      <c r="F299" s="23">
        <f>'Fiscal Forecasts'!F$45</f>
        <v>1.722</v>
      </c>
      <c r="G299" s="23">
        <f>'Fiscal Forecasts'!G$45</f>
        <v>1.7909999999999999</v>
      </c>
      <c r="H299" s="23">
        <f>'Fiscal Forecasts'!H$45</f>
        <v>1.9810000000000001</v>
      </c>
      <c r="I299" s="23">
        <f>'Fiscal Forecasts'!I$45</f>
        <v>1.9330000000000001</v>
      </c>
      <c r="J299" s="23">
        <f>'Fiscal Forecasts'!J$45</f>
        <v>2.2120000000000002</v>
      </c>
      <c r="K299" s="23">
        <f>'Fiscal Forecasts'!K$45</f>
        <v>2.4459999999999997</v>
      </c>
      <c r="L299" s="23">
        <f>'Fiscal Forecasts'!L$45</f>
        <v>2.351</v>
      </c>
      <c r="M299" s="23">
        <f>'Fiscal Forecasts'!M$45</f>
        <v>2.3719999999999999</v>
      </c>
      <c r="N299" s="23">
        <f>'Fiscal Forecasts'!N$45</f>
        <v>2.198</v>
      </c>
      <c r="O299" s="25">
        <f>'Fiscal Forecasts'!O$45</f>
        <v>2.319</v>
      </c>
      <c r="P299" s="25">
        <f>'Fiscal Forecasts'!P$45</f>
        <v>2.3359999999999999</v>
      </c>
      <c r="Q299" s="25">
        <f>'Fiscal Forecasts'!Q$45</f>
        <v>2.363</v>
      </c>
      <c r="R299" s="25">
        <f>'Fiscal Forecasts'!R$45</f>
        <v>2.3860000000000001</v>
      </c>
      <c r="S299" s="25">
        <f>'Fiscal Forecasts'!S$45</f>
        <v>2.3919999999999999</v>
      </c>
      <c r="T299" s="11">
        <f ca="1">T$298+IF(T$4=OFFSET(Choices!$B$10,0,$C$1),AVERAGE((Q$299-Q$298)/Q$11,(R$299-R$298)/R$11,(S$299-S$298)/S$11),(S$299-S$298)/S$11)*T$11</f>
        <v>2.5275353958230879</v>
      </c>
      <c r="U299" s="11">
        <f ca="1">U$298+IF(U$4=OFFSET(Choices!$B$10,0,$C$1),AVERAGE((R$299-R$298)/R$11,(S$299-S$298)/S$11,(T$299-T$298)/T$11),(T$299-T$298)/T$11)*U$11</f>
        <v>2.6046056976676817</v>
      </c>
      <c r="V299" s="11">
        <f ca="1">V$298+IF(V$4=OFFSET(Choices!$B$10,0,$C$1),AVERAGE((S$299-S$298)/S$11,(T$299-T$298)/T$11,(U$299-U$298)/U$11),(U$299-U$298)/U$11)*V$11</f>
        <v>2.6861089964668023</v>
      </c>
      <c r="W299" s="11">
        <f ca="1">W$298+IF(W$4=OFFSET(Choices!$B$10,0,$C$1),AVERAGE((T$299-T$298)/T$11,(U$299-U$298)/U$11,(V$299-V$298)/V$11),(V$299-V$298)/V$11)*W$11</f>
        <v>2.7706419696074165</v>
      </c>
      <c r="X299" s="11">
        <f ca="1">X$298+IF(X$4=OFFSET(Choices!$B$10,0,$C$1),AVERAGE((U$299-U$298)/U$11,(V$299-V$298)/V$11,(W$299-W$298)/W$11),(W$299-W$298)/W$11)*X$11</f>
        <v>2.858661251744</v>
      </c>
      <c r="Y299" s="11">
        <f ca="1">Y$298+IF(Y$4=OFFSET(Choices!$B$10,0,$C$1),AVERAGE((V$299-V$298)/V$11,(W$299-W$298)/W$11,(X$299-X$298)/X$11),(X$299-X$298)/X$11)*Y$11</f>
        <v>2.9495263272307644</v>
      </c>
      <c r="Z299" s="11">
        <f ca="1">Z$298+IF(Z$4=OFFSET(Choices!$B$10,0,$C$1),AVERAGE((W$299-W$298)/W$11,(X$299-X$298)/X$11,(Y$299-Y$298)/Y$11),(Y$299-Y$298)/Y$11)*Z$11</f>
        <v>3.0430521598003364</v>
      </c>
      <c r="AA299" s="11">
        <f ca="1">AA$298+IF(AA$4=OFFSET(Choices!$B$10,0,$C$1),AVERAGE((X$299-X$298)/X$11,(Y$299-Y$298)/Y$11,(Z$299-Z$298)/Z$11),(Z$299-Z$298)/Z$11)*AA$11</f>
        <v>3.1393045499547769</v>
      </c>
      <c r="AB299" s="11">
        <f ca="1">AB$298+IF(AB$4=OFFSET(Choices!$B$10,0,$C$1),AVERAGE((Y$299-Y$298)/Y$11,(Z$299-Z$298)/Z$11,(AA$299-AA$298)/AA$11),(AA$299-AA$298)/AA$11)*AB$11</f>
        <v>3.237911816425131</v>
      </c>
      <c r="AC299" s="11">
        <f ca="1">AC$298+IF(AC$4=OFFSET(Choices!$B$10,0,$C$1),AVERAGE((Z$299-Z$298)/Z$11,(AA$299-AA$298)/AA$11,(AB$299-AB$298)/AB$11),(AB$299-AB$298)/AB$11)*AC$11</f>
        <v>3.3393878719593304</v>
      </c>
    </row>
    <row r="300" spans="1:29" x14ac:dyDescent="0.2">
      <c r="A300" s="31"/>
      <c r="B300" s="4"/>
      <c r="F300" s="23"/>
      <c r="G300" s="23"/>
      <c r="H300" s="23"/>
      <c r="I300" s="23"/>
      <c r="J300" s="23"/>
      <c r="K300" s="23"/>
      <c r="L300" s="23"/>
      <c r="M300" s="23"/>
      <c r="N300" s="23"/>
      <c r="O300" s="25"/>
      <c r="P300" s="25"/>
      <c r="Q300" s="25"/>
      <c r="R300" s="25"/>
      <c r="S300" s="25"/>
      <c r="T300" s="11"/>
      <c r="U300" s="11"/>
      <c r="V300" s="11"/>
      <c r="W300" s="11"/>
      <c r="X300" s="11"/>
      <c r="Y300" s="11"/>
      <c r="Z300" s="11"/>
      <c r="AA300" s="11"/>
      <c r="AB300" s="11"/>
      <c r="AC300" s="11"/>
    </row>
    <row r="301" spans="1:29" x14ac:dyDescent="0.2">
      <c r="A301" s="31" t="s">
        <v>544</v>
      </c>
      <c r="B301" s="4" t="str">
        <f>$B$46</f>
        <v>From Fiscal Forecasts</v>
      </c>
      <c r="F301" s="23">
        <f>'Fiscal Forecasts'!F$63</f>
        <v>0.255</v>
      </c>
      <c r="G301" s="23">
        <f>'Fiscal Forecasts'!G$63</f>
        <v>0.26</v>
      </c>
      <c r="H301" s="23">
        <f>'Fiscal Forecasts'!H$63</f>
        <v>0.29699999999999999</v>
      </c>
      <c r="I301" s="23">
        <f>'Fiscal Forecasts'!I$63</f>
        <v>0.30599999999999999</v>
      </c>
      <c r="J301" s="23">
        <f>'Fiscal Forecasts'!J$63</f>
        <v>0.876</v>
      </c>
      <c r="K301" s="23">
        <f>'Fiscal Forecasts'!K$63</f>
        <v>-4.5999999999999999E-2</v>
      </c>
      <c r="L301" s="23">
        <f>'Fiscal Forecasts'!L$63</f>
        <v>0.28299999999999997</v>
      </c>
      <c r="M301" s="23">
        <f>'Fiscal Forecasts'!M$63</f>
        <v>0.34699999999999998</v>
      </c>
      <c r="N301" s="23">
        <f>'Fiscal Forecasts'!N$63</f>
        <v>0.32</v>
      </c>
      <c r="O301" s="25">
        <f>'Fiscal Forecasts'!O$63</f>
        <v>0.61899999999999999</v>
      </c>
      <c r="P301" s="25">
        <f>'Fiscal Forecasts'!P$63</f>
        <v>0.50600000000000001</v>
      </c>
      <c r="Q301" s="25">
        <f>'Fiscal Forecasts'!Q$63</f>
        <v>0.48399999999999999</v>
      </c>
      <c r="R301" s="25">
        <f>'Fiscal Forecasts'!R$63</f>
        <v>0.47699999999999998</v>
      </c>
      <c r="S301" s="25">
        <f>'Fiscal Forecasts'!S$63</f>
        <v>0.47499999999999998</v>
      </c>
      <c r="T301" s="11">
        <f t="shared" ref="T301:AC301" si="170">S$301</f>
        <v>0.47499999999999998</v>
      </c>
      <c r="U301" s="11">
        <f t="shared" si="170"/>
        <v>0.47499999999999998</v>
      </c>
      <c r="V301" s="11">
        <f t="shared" si="170"/>
        <v>0.47499999999999998</v>
      </c>
      <c r="W301" s="11">
        <f t="shared" si="170"/>
        <v>0.47499999999999998</v>
      </c>
      <c r="X301" s="11">
        <f t="shared" si="170"/>
        <v>0.47499999999999998</v>
      </c>
      <c r="Y301" s="11">
        <f t="shared" si="170"/>
        <v>0.47499999999999998</v>
      </c>
      <c r="Z301" s="11">
        <f t="shared" si="170"/>
        <v>0.47499999999999998</v>
      </c>
      <c r="AA301" s="11">
        <f t="shared" si="170"/>
        <v>0.47499999999999998</v>
      </c>
      <c r="AB301" s="11">
        <f t="shared" si="170"/>
        <v>0.47499999999999998</v>
      </c>
      <c r="AC301" s="11">
        <f t="shared" si="170"/>
        <v>0.47499999999999998</v>
      </c>
    </row>
    <row r="302" spans="1:29" x14ac:dyDescent="0.2">
      <c r="A302" s="31" t="s">
        <v>545</v>
      </c>
      <c r="B302" s="4" t="str">
        <f>$B$46</f>
        <v>From Fiscal Forecasts</v>
      </c>
      <c r="F302" s="23">
        <f>'Fiscal Forecasts'!F$46</f>
        <v>0.86499999999999999</v>
      </c>
      <c r="G302" s="23">
        <f>'Fiscal Forecasts'!G$46</f>
        <v>0.93799999999999994</v>
      </c>
      <c r="H302" s="23">
        <f>'Fiscal Forecasts'!H$46</f>
        <v>1.075</v>
      </c>
      <c r="I302" s="23">
        <f>'Fiscal Forecasts'!I$46</f>
        <v>1.087</v>
      </c>
      <c r="J302" s="23">
        <f>'Fiscal Forecasts'!J$46</f>
        <v>1.655</v>
      </c>
      <c r="K302" s="23">
        <f>'Fiscal Forecasts'!K$46</f>
        <v>0.627</v>
      </c>
      <c r="L302" s="23">
        <f>'Fiscal Forecasts'!L$46</f>
        <v>0.98899999999999999</v>
      </c>
      <c r="M302" s="23">
        <f>'Fiscal Forecasts'!M$46</f>
        <v>1.095</v>
      </c>
      <c r="N302" s="23">
        <f>'Fiscal Forecasts'!N$46</f>
        <v>1.1140000000000001</v>
      </c>
      <c r="O302" s="25">
        <f>'Fiscal Forecasts'!O$46</f>
        <v>1.5349999999999999</v>
      </c>
      <c r="P302" s="25">
        <f>'Fiscal Forecasts'!P$46</f>
        <v>1.581</v>
      </c>
      <c r="Q302" s="25">
        <f>'Fiscal Forecasts'!Q$46</f>
        <v>1.6</v>
      </c>
      <c r="R302" s="25">
        <f>'Fiscal Forecasts'!R$46</f>
        <v>1.6140000000000001</v>
      </c>
      <c r="S302" s="25">
        <f>'Fiscal Forecasts'!S$46</f>
        <v>1.639</v>
      </c>
      <c r="T302" s="11">
        <f ca="1">T$301+IF(T$4=OFFSET(Choices!$B$10,0,$C$1),AVERAGE((Q$302-Q$301)/Q$11,(R$302-R$301)/R$11,(S$302-S$301)/S$11),(S$302-S$301)/S$11)*T$11</f>
        <v>1.7163690877223501</v>
      </c>
      <c r="U302" s="11">
        <f ca="1">U$301+IF(U$4=OFFSET(Choices!$B$10,0,$C$1),AVERAGE((R$302-R$301)/R$11,(S$302-S$301)/S$11,(T$302-T$301)/T$11),(T$302-T$301)/T$11)*U$11</f>
        <v>1.7713997132253843</v>
      </c>
      <c r="V302" s="11">
        <f ca="1">V$301+IF(V$4=OFFSET(Choices!$B$10,0,$C$1),AVERAGE((S$302-S$301)/S$11,(T$302-T$301)/T$11,(U$302-U$301)/U$11),(U$302-U$301)/U$11)*V$11</f>
        <v>1.8295956383240077</v>
      </c>
      <c r="W302" s="11">
        <f ca="1">W$301+IF(W$4=OFFSET(Choices!$B$10,0,$C$1),AVERAGE((T$302-T$301)/T$11,(U$302-U$301)/U$11,(V$302-V$301)/V$11),(V$302-V$301)/V$11)*W$11</f>
        <v>1.8899548464264928</v>
      </c>
      <c r="X302" s="11">
        <f ca="1">X$301+IF(X$4=OFFSET(Choices!$B$10,0,$C$1),AVERAGE((U$302-U$301)/U$11,(V$302-V$301)/V$11,(W$302-W$301)/W$11),(W$302-W$301)/W$11)*X$11</f>
        <v>1.9528033890735852</v>
      </c>
      <c r="Y302" s="11">
        <f ca="1">Y$301+IF(Y$4=OFFSET(Choices!$B$10,0,$C$1),AVERAGE((V$302-V$301)/V$11,(W$302-W$301)/W$11,(X$302-X$301)/X$11),(X$302-X$301)/X$11)*Y$11</f>
        <v>2.0176839178990709</v>
      </c>
      <c r="Z302" s="11">
        <f ca="1">Z$301+IF(Z$4=OFFSET(Choices!$B$10,0,$C$1),AVERAGE((W$302-W$301)/W$11,(X$302-X$301)/X$11,(Y$302-Y$301)/Y$11),(Y$302-Y$301)/Y$11)*Z$11</f>
        <v>2.0844643111739494</v>
      </c>
      <c r="AA302" s="11">
        <f ca="1">AA$301+IF(AA$4=OFFSET(Choices!$B$10,0,$C$1),AVERAGE((X$302-X$301)/X$11,(Y$302-Y$301)/Y$11,(Z$302-Z$301)/Z$11),(Z$302-Z$301)/Z$11)*AA$11</f>
        <v>2.1531915525313479</v>
      </c>
      <c r="AB302" s="11">
        <f ca="1">AB$301+IF(AB$4=OFFSET(Choices!$B$10,0,$C$1),AVERAGE((Y$302-Y$301)/Y$11,(Z$302-Z$301)/Z$11,(AA$302-AA$301)/AA$11),(AA$302-AA$301)/AA$11)*AB$11</f>
        <v>2.2236002498263177</v>
      </c>
      <c r="AC302" s="11">
        <f ca="1">AC$301+IF(AC$4=OFFSET(Choices!$B$10,0,$C$1),AVERAGE((Z$302-Z$301)/Z$11,(AA$302-AA$301)/AA$11,(AB$302-AB$301)/AB$11),(AB$302-AB$301)/AB$11)*AC$11</f>
        <v>2.2960573529642798</v>
      </c>
    </row>
    <row r="303" spans="1:29" x14ac:dyDescent="0.2">
      <c r="A303" s="31"/>
      <c r="B303" s="4"/>
      <c r="F303" s="23"/>
      <c r="G303" s="23"/>
      <c r="H303" s="23"/>
      <c r="I303" s="23"/>
      <c r="J303" s="23"/>
      <c r="K303" s="23"/>
      <c r="L303" s="23"/>
      <c r="M303" s="23"/>
      <c r="N303" s="23"/>
      <c r="O303" s="25"/>
      <c r="P303" s="25"/>
      <c r="Q303" s="25"/>
      <c r="R303" s="25"/>
      <c r="S303" s="25"/>
      <c r="T303" s="11"/>
      <c r="U303" s="11"/>
      <c r="V303" s="11"/>
      <c r="W303" s="11"/>
      <c r="X303" s="11"/>
      <c r="Y303" s="11"/>
      <c r="Z303" s="11"/>
      <c r="AA303" s="11"/>
      <c r="AB303" s="11"/>
      <c r="AC303" s="11"/>
    </row>
    <row r="304" spans="1:29" x14ac:dyDescent="0.2">
      <c r="A304" s="31" t="s">
        <v>546</v>
      </c>
      <c r="B304" s="4"/>
    </row>
    <row r="305" spans="1:29" x14ac:dyDescent="0.2">
      <c r="A305" s="3" t="s">
        <v>550</v>
      </c>
      <c r="B305" s="4" t="str">
        <f>$B$46</f>
        <v>From Fiscal Forecasts</v>
      </c>
      <c r="F305" s="21">
        <f>-'Fiscal Forecasts'!F$417</f>
        <v>0</v>
      </c>
      <c r="G305" s="21">
        <f>-'Fiscal Forecasts'!G$417</f>
        <v>0</v>
      </c>
      <c r="H305" s="21">
        <f>-'Fiscal Forecasts'!H$417</f>
        <v>1.7000000000000001E-2</v>
      </c>
      <c r="I305" s="21">
        <f>-'Fiscal Forecasts'!I$417</f>
        <v>0.08</v>
      </c>
      <c r="J305" s="21">
        <f>-'Fiscal Forecasts'!J$417</f>
        <v>0.86</v>
      </c>
      <c r="K305" s="21">
        <f>-'Fiscal Forecasts'!K$417</f>
        <v>0.33400000000000002</v>
      </c>
      <c r="L305" s="21">
        <f>-'Fiscal Forecasts'!L$417</f>
        <v>7.9000000000000001E-2</v>
      </c>
      <c r="M305" s="21">
        <f>-'Fiscal Forecasts'!M$417</f>
        <v>7.0000000000000007E-2</v>
      </c>
      <c r="N305" s="21">
        <f>-'Fiscal Forecasts'!N$417</f>
        <v>0.13</v>
      </c>
      <c r="O305" s="24">
        <f>-'Fiscal Forecasts'!O$417</f>
        <v>0.114</v>
      </c>
      <c r="P305" s="24">
        <f>-'Fiscal Forecasts'!P$417</f>
        <v>0.11899999999999999</v>
      </c>
      <c r="Q305" s="24">
        <f>-'Fiscal Forecasts'!Q$417</f>
        <v>0.14799999999999999</v>
      </c>
      <c r="R305" s="24">
        <f>-'Fiscal Forecasts'!R$417</f>
        <v>0.152</v>
      </c>
      <c r="S305" s="24">
        <f>-'Fiscal Forecasts'!S$417</f>
        <v>0.12</v>
      </c>
      <c r="T305" s="26">
        <f t="shared" ref="T305:AC305" ca="1" si="171">T$147</f>
        <v>0.18163010038610039</v>
      </c>
      <c r="U305" s="26">
        <f t="shared" ca="1" si="171"/>
        <v>0.18526270239382242</v>
      </c>
      <c r="V305" s="26">
        <f t="shared" ca="1" si="171"/>
        <v>0.18896795644169886</v>
      </c>
      <c r="W305" s="26">
        <f t="shared" ca="1" si="171"/>
        <v>0.19274731557053282</v>
      </c>
      <c r="X305" s="26">
        <f t="shared" ca="1" si="171"/>
        <v>0.19660226188194349</v>
      </c>
      <c r="Y305" s="26">
        <f t="shared" ca="1" si="171"/>
        <v>0.20053430711958239</v>
      </c>
      <c r="Z305" s="26">
        <f t="shared" ca="1" si="171"/>
        <v>0.20454499326197403</v>
      </c>
      <c r="AA305" s="26">
        <f t="shared" ca="1" si="171"/>
        <v>0.20863589312721351</v>
      </c>
      <c r="AB305" s="26">
        <f t="shared" ca="1" si="171"/>
        <v>0.21280861098975778</v>
      </c>
      <c r="AC305" s="26">
        <f t="shared" ca="1" si="171"/>
        <v>0.21706478320955291</v>
      </c>
    </row>
    <row r="306" spans="1:29" x14ac:dyDescent="0.2">
      <c r="A306" s="3" t="s">
        <v>547</v>
      </c>
      <c r="B306" s="4" t="str">
        <f>$B$46</f>
        <v>From Fiscal Forecasts</v>
      </c>
      <c r="F306" s="21">
        <f>'Fiscal Forecasts'!F$64-F$305</f>
        <v>0.32100000000000001</v>
      </c>
      <c r="G306" s="21">
        <f>'Fiscal Forecasts'!G$64-G$305</f>
        <v>0.54600000000000004</v>
      </c>
      <c r="H306" s="21">
        <f>'Fiscal Forecasts'!H$64-H$305</f>
        <v>0.39899999999999997</v>
      </c>
      <c r="I306" s="21">
        <f>'Fiscal Forecasts'!I$64-I$305</f>
        <v>0.57100000000000006</v>
      </c>
      <c r="J306" s="21">
        <f>'Fiscal Forecasts'!J$64-J$305</f>
        <v>0.3650000000000001</v>
      </c>
      <c r="K306" s="21">
        <f>'Fiscal Forecasts'!K$64-K$305</f>
        <v>0.435</v>
      </c>
      <c r="L306" s="21">
        <f>'Fiscal Forecasts'!L$64-L$305</f>
        <v>0.45100000000000001</v>
      </c>
      <c r="M306" s="21">
        <f>'Fiscal Forecasts'!M$64-M$305</f>
        <v>0.46300000000000002</v>
      </c>
      <c r="N306" s="21">
        <f>'Fiscal Forecasts'!N$64-N$305</f>
        <v>0.59299999999999997</v>
      </c>
      <c r="O306" s="24">
        <f>'Fiscal Forecasts'!O$64-O$305</f>
        <v>0.52300000000000002</v>
      </c>
      <c r="P306" s="24">
        <f>'Fiscal Forecasts'!P$64-P$305</f>
        <v>0.46199999999999997</v>
      </c>
      <c r="Q306" s="24">
        <f>'Fiscal Forecasts'!Q$64-Q$305</f>
        <v>0.47699999999999998</v>
      </c>
      <c r="R306" s="24">
        <f>'Fiscal Forecasts'!R$64-R$305</f>
        <v>0.47499999999999998</v>
      </c>
      <c r="S306" s="24">
        <f>'Fiscal Forecasts'!S$64-S$305</f>
        <v>0.47599999999999998</v>
      </c>
      <c r="T306" s="26">
        <f t="shared" ref="T306:AC306" si="172">S$306</f>
        <v>0.47599999999999998</v>
      </c>
      <c r="U306" s="26">
        <f t="shared" si="172"/>
        <v>0.47599999999999998</v>
      </c>
      <c r="V306" s="26">
        <f t="shared" si="172"/>
        <v>0.47599999999999998</v>
      </c>
      <c r="W306" s="26">
        <f t="shared" si="172"/>
        <v>0.47599999999999998</v>
      </c>
      <c r="X306" s="26">
        <f t="shared" si="172"/>
        <v>0.47599999999999998</v>
      </c>
      <c r="Y306" s="26">
        <f t="shared" si="172"/>
        <v>0.47599999999999998</v>
      </c>
      <c r="Z306" s="26">
        <f t="shared" si="172"/>
        <v>0.47599999999999998</v>
      </c>
      <c r="AA306" s="26">
        <f t="shared" si="172"/>
        <v>0.47599999999999998</v>
      </c>
      <c r="AB306" s="26">
        <f t="shared" si="172"/>
        <v>0.47599999999999998</v>
      </c>
      <c r="AC306" s="26">
        <f t="shared" si="172"/>
        <v>0.47599999999999998</v>
      </c>
    </row>
    <row r="307" spans="1:29" x14ac:dyDescent="0.2">
      <c r="A307" s="31" t="s">
        <v>548</v>
      </c>
      <c r="B307" s="4"/>
      <c r="F307" s="56">
        <f>SUM(F$305:F$306)</f>
        <v>0.32100000000000001</v>
      </c>
      <c r="G307" s="56">
        <f t="shared" ref="G307:AC307" si="173">SUM(G$305:G$306)</f>
        <v>0.54600000000000004</v>
      </c>
      <c r="H307" s="56">
        <f t="shared" si="173"/>
        <v>0.41599999999999998</v>
      </c>
      <c r="I307" s="56">
        <f t="shared" si="173"/>
        <v>0.65100000000000002</v>
      </c>
      <c r="J307" s="56">
        <f t="shared" si="173"/>
        <v>1.2250000000000001</v>
      </c>
      <c r="K307" s="56">
        <f t="shared" si="173"/>
        <v>0.76900000000000002</v>
      </c>
      <c r="L307" s="56">
        <f t="shared" si="173"/>
        <v>0.53</v>
      </c>
      <c r="M307" s="56">
        <f t="shared" si="173"/>
        <v>0.53300000000000003</v>
      </c>
      <c r="N307" s="56">
        <f t="shared" si="173"/>
        <v>0.72299999999999998</v>
      </c>
      <c r="O307" s="57">
        <f t="shared" si="173"/>
        <v>0.63700000000000001</v>
      </c>
      <c r="P307" s="57">
        <f t="shared" si="173"/>
        <v>0.58099999999999996</v>
      </c>
      <c r="Q307" s="57">
        <f t="shared" si="173"/>
        <v>0.625</v>
      </c>
      <c r="R307" s="57">
        <f t="shared" si="173"/>
        <v>0.627</v>
      </c>
      <c r="S307" s="57">
        <f t="shared" si="173"/>
        <v>0.59599999999999997</v>
      </c>
      <c r="T307" s="58">
        <f t="shared" ca="1" si="173"/>
        <v>0.65763010038610037</v>
      </c>
      <c r="U307" s="58">
        <f t="shared" ca="1" si="173"/>
        <v>0.66126270239382245</v>
      </c>
      <c r="V307" s="58">
        <f t="shared" ca="1" si="173"/>
        <v>0.66496795644169882</v>
      </c>
      <c r="W307" s="58">
        <f t="shared" ca="1" si="173"/>
        <v>0.6687473155705328</v>
      </c>
      <c r="X307" s="58">
        <f t="shared" ca="1" si="173"/>
        <v>0.6726022618819435</v>
      </c>
      <c r="Y307" s="58">
        <f t="shared" ca="1" si="173"/>
        <v>0.6765343071195824</v>
      </c>
      <c r="Z307" s="58">
        <f t="shared" ca="1" si="173"/>
        <v>0.68054499326197404</v>
      </c>
      <c r="AA307" s="58">
        <f t="shared" ca="1" si="173"/>
        <v>0.68463589312721351</v>
      </c>
      <c r="AB307" s="58">
        <f t="shared" ca="1" si="173"/>
        <v>0.68880861098975776</v>
      </c>
      <c r="AC307" s="58">
        <f t="shared" ca="1" si="173"/>
        <v>0.69306478320955289</v>
      </c>
    </row>
    <row r="308" spans="1:29" x14ac:dyDescent="0.2">
      <c r="A308" s="31" t="s">
        <v>549</v>
      </c>
      <c r="B308" s="4" t="str">
        <f>$B$46</f>
        <v>From Fiscal Forecasts</v>
      </c>
      <c r="F308" s="23">
        <f>'Fiscal Forecasts'!F$47</f>
        <v>0.32100000000000001</v>
      </c>
      <c r="G308" s="23">
        <f>'Fiscal Forecasts'!G$47</f>
        <v>0.54600000000000004</v>
      </c>
      <c r="H308" s="23">
        <f>'Fiscal Forecasts'!H$47</f>
        <v>0.41599999999999998</v>
      </c>
      <c r="I308" s="23">
        <f>'Fiscal Forecasts'!I$47</f>
        <v>0.65100000000000002</v>
      </c>
      <c r="J308" s="23">
        <f>'Fiscal Forecasts'!J$47</f>
        <v>1.2250000000000001</v>
      </c>
      <c r="K308" s="23">
        <f>'Fiscal Forecasts'!K$47</f>
        <v>0.76900000000000002</v>
      </c>
      <c r="L308" s="23">
        <f>'Fiscal Forecasts'!L$47</f>
        <v>0.52800000000000002</v>
      </c>
      <c r="M308" s="23">
        <f>'Fiscal Forecasts'!M$47</f>
        <v>0.53800000000000003</v>
      </c>
      <c r="N308" s="23">
        <f>'Fiscal Forecasts'!N$47</f>
        <v>0.61599999999999999</v>
      </c>
      <c r="O308" s="25">
        <f>'Fiscal Forecasts'!O$47</f>
        <v>0.63900000000000001</v>
      </c>
      <c r="P308" s="25">
        <f>'Fiscal Forecasts'!P$47</f>
        <v>0.58199999999999996</v>
      </c>
      <c r="Q308" s="25">
        <f>'Fiscal Forecasts'!Q$47</f>
        <v>0.627</v>
      </c>
      <c r="R308" s="25">
        <f>'Fiscal Forecasts'!R$47</f>
        <v>0.629</v>
      </c>
      <c r="S308" s="25">
        <f>'Fiscal Forecasts'!S$47</f>
        <v>0.59799999999999998</v>
      </c>
      <c r="T308" s="11">
        <f t="shared" ref="T308:AC308" ca="1" si="174">T$307</f>
        <v>0.65763010038610037</v>
      </c>
      <c r="U308" s="11">
        <f t="shared" ca="1" si="174"/>
        <v>0.66126270239382245</v>
      </c>
      <c r="V308" s="11">
        <f t="shared" ca="1" si="174"/>
        <v>0.66496795644169882</v>
      </c>
      <c r="W308" s="11">
        <f t="shared" ca="1" si="174"/>
        <v>0.6687473155705328</v>
      </c>
      <c r="X308" s="11">
        <f t="shared" ca="1" si="174"/>
        <v>0.6726022618819435</v>
      </c>
      <c r="Y308" s="11">
        <f t="shared" ca="1" si="174"/>
        <v>0.6765343071195824</v>
      </c>
      <c r="Z308" s="11">
        <f t="shared" ca="1" si="174"/>
        <v>0.68054499326197404</v>
      </c>
      <c r="AA308" s="11">
        <f t="shared" ca="1" si="174"/>
        <v>0.68463589312721351</v>
      </c>
      <c r="AB308" s="11">
        <f t="shared" ca="1" si="174"/>
        <v>0.68880861098975776</v>
      </c>
      <c r="AC308" s="11">
        <f t="shared" ca="1" si="174"/>
        <v>0.69306478320955289</v>
      </c>
    </row>
    <row r="309" spans="1:29" x14ac:dyDescent="0.2">
      <c r="A309" s="31"/>
      <c r="B309" s="4"/>
      <c r="F309" s="23"/>
      <c r="G309" s="23"/>
      <c r="H309" s="23"/>
      <c r="I309" s="23"/>
      <c r="J309" s="23"/>
      <c r="K309" s="23"/>
      <c r="L309" s="23"/>
      <c r="M309" s="23"/>
      <c r="N309" s="23"/>
      <c r="O309" s="25"/>
      <c r="P309" s="25"/>
      <c r="Q309" s="25"/>
      <c r="R309" s="25"/>
      <c r="S309" s="11"/>
      <c r="T309" s="11"/>
      <c r="U309" s="11"/>
      <c r="V309" s="11"/>
      <c r="W309" s="11"/>
      <c r="X309" s="11"/>
      <c r="Y309" s="11"/>
      <c r="Z309" s="11"/>
      <c r="AA309" s="11"/>
      <c r="AB309" s="11"/>
      <c r="AC309" s="11"/>
    </row>
    <row r="310" spans="1:29" x14ac:dyDescent="0.2">
      <c r="A310" s="31" t="s">
        <v>551</v>
      </c>
      <c r="B310" s="4" t="str">
        <f>$B$46</f>
        <v>From Fiscal Forecasts</v>
      </c>
      <c r="F310" s="23">
        <f>'Fiscal Forecasts'!F$65</f>
        <v>6.8000000000000005E-2</v>
      </c>
      <c r="G310" s="23">
        <f>'Fiscal Forecasts'!G$65</f>
        <v>0.254</v>
      </c>
      <c r="H310" s="23">
        <f>'Fiscal Forecasts'!H$65</f>
        <v>0.11799999999999999</v>
      </c>
      <c r="I310" s="23">
        <f>'Fiscal Forecasts'!I$65</f>
        <v>0.08</v>
      </c>
      <c r="J310" s="23">
        <f>'Fiscal Forecasts'!J$65</f>
        <v>0.47899999999999998</v>
      </c>
      <c r="K310" s="23">
        <f>'Fiscal Forecasts'!K$65</f>
        <v>0.42499999999999999</v>
      </c>
      <c r="L310" s="23">
        <f>'Fiscal Forecasts'!L$65</f>
        <v>0.60299999999999998</v>
      </c>
      <c r="M310" s="23">
        <f>'Fiscal Forecasts'!M$65</f>
        <v>0.57899999999999996</v>
      </c>
      <c r="N310" s="23">
        <f>'Fiscal Forecasts'!N$65</f>
        <v>0.14499999999999999</v>
      </c>
      <c r="O310" s="25">
        <f>'Fiscal Forecasts'!O$65</f>
        <v>0.53900000000000003</v>
      </c>
      <c r="P310" s="25">
        <f>'Fiscal Forecasts'!P$65</f>
        <v>0.42899999999999999</v>
      </c>
      <c r="Q310" s="25">
        <f>'Fiscal Forecasts'!Q$65</f>
        <v>0.48799999999999999</v>
      </c>
      <c r="R310" s="25">
        <f>'Fiscal Forecasts'!R$65</f>
        <v>0.48399999999999999</v>
      </c>
      <c r="S310" s="25">
        <f>'Fiscal Forecasts'!S$65</f>
        <v>0.48399999999999999</v>
      </c>
      <c r="T310" s="11">
        <f ca="1">IF(T$4&lt;=OFFSET(Choices!$B$48,0,$C$1),S$310,0)</f>
        <v>0</v>
      </c>
      <c r="U310" s="11">
        <f ca="1">IF(U$4&lt;=OFFSET(Choices!$B$48,0,$C$1),T$310,0)</f>
        <v>0</v>
      </c>
      <c r="V310" s="11">
        <f ca="1">IF(V$4&lt;=OFFSET(Choices!$B$48,0,$C$1),U$310,0)</f>
        <v>0</v>
      </c>
      <c r="W310" s="11">
        <f ca="1">IF(W$4&lt;=OFFSET(Choices!$B$48,0,$C$1),V$310,0)</f>
        <v>0</v>
      </c>
      <c r="X310" s="11">
        <f ca="1">IF(X$4&lt;=OFFSET(Choices!$B$48,0,$C$1),W$310,0)</f>
        <v>0</v>
      </c>
      <c r="Y310" s="11">
        <f ca="1">IF(Y$4&lt;=OFFSET(Choices!$B$48,0,$C$1),X$310,0)</f>
        <v>0</v>
      </c>
      <c r="Z310" s="11">
        <f ca="1">IF(Z$4&lt;=OFFSET(Choices!$B$48,0,$C$1),Y$310,0)</f>
        <v>0</v>
      </c>
      <c r="AA310" s="11">
        <f ca="1">IF(AA$4&lt;=OFFSET(Choices!$B$48,0,$C$1),Z$310,0)</f>
        <v>0</v>
      </c>
      <c r="AB310" s="11">
        <f ca="1">IF(AB$4&lt;=OFFSET(Choices!$B$48,0,$C$1),AA$310,0)</f>
        <v>0</v>
      </c>
      <c r="AC310" s="11">
        <f ca="1">IF(AC$4&lt;=OFFSET(Choices!$B$48,0,$C$1),AB$310,0)</f>
        <v>0</v>
      </c>
    </row>
    <row r="311" spans="1:29" x14ac:dyDescent="0.2">
      <c r="A311" s="31" t="s">
        <v>552</v>
      </c>
      <c r="B311" s="4" t="str">
        <f>$B$46</f>
        <v>From Fiscal Forecasts</v>
      </c>
      <c r="F311" s="23">
        <f>'Fiscal Forecasts'!F$48</f>
        <v>7.3999999999999996E-2</v>
      </c>
      <c r="G311" s="23">
        <f>'Fiscal Forecasts'!G$48</f>
        <v>0.25900000000000001</v>
      </c>
      <c r="H311" s="23">
        <f>'Fiscal Forecasts'!H$48</f>
        <v>0.11799999999999999</v>
      </c>
      <c r="I311" s="23">
        <f>'Fiscal Forecasts'!I$48</f>
        <v>0.08</v>
      </c>
      <c r="J311" s="23">
        <f>'Fiscal Forecasts'!J$48</f>
        <v>0.47899999999999998</v>
      </c>
      <c r="K311" s="23">
        <f>'Fiscal Forecasts'!K$48</f>
        <v>0.42499999999999999</v>
      </c>
      <c r="L311" s="23">
        <f>'Fiscal Forecasts'!L$48</f>
        <v>0.60299999999999998</v>
      </c>
      <c r="M311" s="23">
        <f>'Fiscal Forecasts'!M$48</f>
        <v>0.57899999999999996</v>
      </c>
      <c r="N311" s="23">
        <f>'Fiscal Forecasts'!N$48</f>
        <v>0.14499999999999999</v>
      </c>
      <c r="O311" s="25">
        <f>'Fiscal Forecasts'!O$48</f>
        <v>0.53900000000000003</v>
      </c>
      <c r="P311" s="25">
        <f>'Fiscal Forecasts'!P$48</f>
        <v>0.42899999999999999</v>
      </c>
      <c r="Q311" s="25">
        <f>'Fiscal Forecasts'!Q$48</f>
        <v>0.48799999999999999</v>
      </c>
      <c r="R311" s="25">
        <f>'Fiscal Forecasts'!R$48</f>
        <v>0.48399999999999999</v>
      </c>
      <c r="S311" s="25">
        <f>'Fiscal Forecasts'!S$48</f>
        <v>0.48399999999999999</v>
      </c>
      <c r="T311" s="11">
        <f t="shared" ref="T311:AC311" ca="1" si="175">T$310</f>
        <v>0</v>
      </c>
      <c r="U311" s="11">
        <f t="shared" ca="1" si="175"/>
        <v>0</v>
      </c>
      <c r="V311" s="11">
        <f t="shared" ca="1" si="175"/>
        <v>0</v>
      </c>
      <c r="W311" s="11">
        <f t="shared" ca="1" si="175"/>
        <v>0</v>
      </c>
      <c r="X311" s="11">
        <f t="shared" ca="1" si="175"/>
        <v>0</v>
      </c>
      <c r="Y311" s="11">
        <f t="shared" ca="1" si="175"/>
        <v>0</v>
      </c>
      <c r="Z311" s="11">
        <f t="shared" ca="1" si="175"/>
        <v>0</v>
      </c>
      <c r="AA311" s="11">
        <f t="shared" ca="1" si="175"/>
        <v>0</v>
      </c>
      <c r="AB311" s="11">
        <f t="shared" ca="1" si="175"/>
        <v>0</v>
      </c>
      <c r="AC311" s="11">
        <f t="shared" ca="1" si="175"/>
        <v>0</v>
      </c>
    </row>
    <row r="312" spans="1:29" x14ac:dyDescent="0.2">
      <c r="A312" s="31"/>
      <c r="B312" s="4"/>
      <c r="F312" s="23"/>
      <c r="G312" s="23"/>
      <c r="H312" s="23"/>
      <c r="I312" s="23"/>
      <c r="J312" s="23"/>
      <c r="K312" s="23"/>
      <c r="L312" s="23"/>
      <c r="M312" s="23"/>
      <c r="N312" s="23"/>
      <c r="O312" s="25"/>
      <c r="P312" s="25"/>
      <c r="Q312" s="25"/>
      <c r="R312" s="25"/>
      <c r="S312" s="11"/>
      <c r="T312" s="11"/>
      <c r="U312" s="11"/>
      <c r="V312" s="11"/>
      <c r="W312" s="11"/>
      <c r="X312" s="11"/>
      <c r="Y312" s="11"/>
      <c r="Z312" s="11"/>
      <c r="AA312" s="11"/>
      <c r="AB312" s="11"/>
      <c r="AC312" s="11"/>
    </row>
    <row r="313" spans="1:29" x14ac:dyDescent="0.2">
      <c r="A313" s="31" t="s">
        <v>315</v>
      </c>
      <c r="B313" s="4"/>
      <c r="F313" s="23"/>
      <c r="G313" s="23"/>
      <c r="H313" s="23"/>
      <c r="I313" s="23"/>
      <c r="J313" s="23"/>
      <c r="K313" s="23"/>
      <c r="L313" s="23"/>
      <c r="M313" s="23"/>
      <c r="N313" s="23"/>
      <c r="O313" s="25"/>
      <c r="P313" s="25"/>
      <c r="Q313" s="25"/>
      <c r="R313" s="25"/>
      <c r="S313" s="11"/>
      <c r="T313" s="11"/>
      <c r="U313" s="11"/>
      <c r="V313" s="11"/>
      <c r="W313" s="11"/>
      <c r="X313" s="11"/>
      <c r="Y313" s="11"/>
      <c r="Z313" s="11"/>
      <c r="AA313" s="11"/>
      <c r="AB313" s="11"/>
      <c r="AC313" s="11"/>
    </row>
    <row r="314" spans="1:29" x14ac:dyDescent="0.2">
      <c r="A314" s="3" t="s">
        <v>553</v>
      </c>
      <c r="B314" s="4" t="str">
        <f t="shared" ref="B314:B319" si="176">$B$46</f>
        <v>From Fiscal Forecasts</v>
      </c>
      <c r="F314" s="21">
        <f>'Fiscal Forecasts'!F$275</f>
        <v>0</v>
      </c>
      <c r="G314" s="21">
        <f>'Fiscal Forecasts'!G$275</f>
        <v>0</v>
      </c>
      <c r="H314" s="21">
        <f>'Fiscal Forecasts'!H$275</f>
        <v>0</v>
      </c>
      <c r="I314" s="21">
        <f>'Fiscal Forecasts'!I$275</f>
        <v>0</v>
      </c>
      <c r="J314" s="21">
        <f>'Fiscal Forecasts'!J$275</f>
        <v>0</v>
      </c>
      <c r="K314" s="21">
        <f>'Fiscal Forecasts'!K$275</f>
        <v>0</v>
      </c>
      <c r="L314" s="21">
        <f>'Fiscal Forecasts'!L$275</f>
        <v>0</v>
      </c>
      <c r="M314" s="21">
        <f>'Fiscal Forecasts'!M$275</f>
        <v>0</v>
      </c>
      <c r="N314" s="21">
        <f>'Fiscal Forecasts'!N$275</f>
        <v>0</v>
      </c>
      <c r="O314" s="24">
        <f>'Fiscal Forecasts'!O$275</f>
        <v>0.34899999999999998</v>
      </c>
      <c r="P314" s="24">
        <f>'Fiscal Forecasts'!P$275</f>
        <v>0.35599999999999998</v>
      </c>
      <c r="Q314" s="24">
        <f>'Fiscal Forecasts'!Q$275</f>
        <v>9.8000000000000004E-2</v>
      </c>
      <c r="R314" s="24">
        <f>'Fiscal Forecasts'!R$275</f>
        <v>0</v>
      </c>
      <c r="S314" s="24">
        <f>'Fiscal Forecasts'!S$275</f>
        <v>0</v>
      </c>
      <c r="T314" s="26">
        <f ca="1">IF(T$4=OFFSET(Choices!$B$10,0,$C$1),0,S$314)</f>
        <v>0</v>
      </c>
      <c r="U314" s="26">
        <f ca="1">IF(U$4=OFFSET(Choices!$B$10,0,$C$1),0,T$314)</f>
        <v>0</v>
      </c>
      <c r="V314" s="26">
        <f ca="1">IF(V$4=OFFSET(Choices!$B$10,0,$C$1),0,U$314)</f>
        <v>0</v>
      </c>
      <c r="W314" s="26">
        <f ca="1">IF(W$4=OFFSET(Choices!$B$10,0,$C$1),0,V$314)</f>
        <v>0</v>
      </c>
      <c r="X314" s="26">
        <f ca="1">IF(X$4=OFFSET(Choices!$B$10,0,$C$1),0,W$314)</f>
        <v>0</v>
      </c>
      <c r="Y314" s="26">
        <f ca="1">IF(Y$4=OFFSET(Choices!$B$10,0,$C$1),0,X$314)</f>
        <v>0</v>
      </c>
      <c r="Z314" s="26">
        <f ca="1">IF(Z$4=OFFSET(Choices!$B$10,0,$C$1),0,Y$314)</f>
        <v>0</v>
      </c>
      <c r="AA314" s="26">
        <f ca="1">IF(AA$4=OFFSET(Choices!$B$10,0,$C$1),0,Z$314)</f>
        <v>0</v>
      </c>
      <c r="AB314" s="26">
        <f ca="1">IF(AB$4=OFFSET(Choices!$B$10,0,$C$1),0,AA$314)</f>
        <v>0</v>
      </c>
      <c r="AC314" s="26">
        <f ca="1">IF(AC$4=OFFSET(Choices!$B$10,0,$C$1),0,AB$314)</f>
        <v>0</v>
      </c>
    </row>
    <row r="315" spans="1:29" x14ac:dyDescent="0.2">
      <c r="A315" s="3" t="s">
        <v>554</v>
      </c>
      <c r="B315" s="4" t="str">
        <f t="shared" si="176"/>
        <v>From Fiscal Forecasts</v>
      </c>
      <c r="F315" s="21">
        <f>'Fiscal Forecasts'!F$276</f>
        <v>0</v>
      </c>
      <c r="G315" s="21">
        <f>'Fiscal Forecasts'!G$276</f>
        <v>0</v>
      </c>
      <c r="H315" s="21">
        <f>'Fiscal Forecasts'!H$276</f>
        <v>0</v>
      </c>
      <c r="I315" s="21">
        <f>'Fiscal Forecasts'!I$276</f>
        <v>0</v>
      </c>
      <c r="J315" s="21">
        <f>'Fiscal Forecasts'!J$276</f>
        <v>0</v>
      </c>
      <c r="K315" s="21">
        <f>'Fiscal Forecasts'!K$276</f>
        <v>0</v>
      </c>
      <c r="L315" s="21">
        <f>'Fiscal Forecasts'!L$276</f>
        <v>0</v>
      </c>
      <c r="M315" s="21">
        <f>'Fiscal Forecasts'!M$276</f>
        <v>0</v>
      </c>
      <c r="N315" s="21">
        <f>'Fiscal Forecasts'!N$276</f>
        <v>0</v>
      </c>
      <c r="O315" s="24">
        <f>'Fiscal Forecasts'!O$276</f>
        <v>0.10199999999999999</v>
      </c>
      <c r="P315" s="24">
        <f>'Fiscal Forecasts'!P$276</f>
        <v>0.34</v>
      </c>
      <c r="Q315" s="24">
        <f>'Fiscal Forecasts'!Q$276</f>
        <v>0.16800000000000001</v>
      </c>
      <c r="R315" s="24">
        <f>'Fiscal Forecasts'!R$276</f>
        <v>8.5000000000000006E-2</v>
      </c>
      <c r="S315" s="24">
        <f>'Fiscal Forecasts'!S$276</f>
        <v>1.2999999999999999E-2</v>
      </c>
      <c r="T315" s="26">
        <f ca="1">IF(T$4=OFFSET(Choices!$B$10,0,$C$1),0,S$315)</f>
        <v>0</v>
      </c>
      <c r="U315" s="26">
        <f ca="1">IF(U$4=OFFSET(Choices!$B$10,0,$C$1),0,T$315)</f>
        <v>0</v>
      </c>
      <c r="V315" s="26">
        <f ca="1">IF(V$4=OFFSET(Choices!$B$10,0,$C$1),0,U$315)</f>
        <v>0</v>
      </c>
      <c r="W315" s="26">
        <f ca="1">IF(W$4=OFFSET(Choices!$B$10,0,$C$1),0,V$315)</f>
        <v>0</v>
      </c>
      <c r="X315" s="26">
        <f ca="1">IF(X$4=OFFSET(Choices!$B$10,0,$C$1),0,W$315)</f>
        <v>0</v>
      </c>
      <c r="Y315" s="26">
        <f ca="1">IF(Y$4=OFFSET(Choices!$B$10,0,$C$1),0,X$315)</f>
        <v>0</v>
      </c>
      <c r="Z315" s="26">
        <f ca="1">IF(Z$4=OFFSET(Choices!$B$10,0,$C$1),0,Y$315)</f>
        <v>0</v>
      </c>
      <c r="AA315" s="26">
        <f ca="1">IF(AA$4=OFFSET(Choices!$B$10,0,$C$1),0,Z$315)</f>
        <v>0</v>
      </c>
      <c r="AB315" s="26">
        <f ca="1">IF(AB$4=OFFSET(Choices!$B$10,0,$C$1),0,AA$315)</f>
        <v>0</v>
      </c>
      <c r="AC315" s="26">
        <f ca="1">IF(AC$4=OFFSET(Choices!$B$10,0,$C$1),0,AB$315)</f>
        <v>0</v>
      </c>
    </row>
    <row r="316" spans="1:29" x14ac:dyDescent="0.2">
      <c r="A316" s="3" t="s">
        <v>555</v>
      </c>
      <c r="B316" s="4" t="str">
        <f t="shared" si="176"/>
        <v>From Fiscal Forecasts</v>
      </c>
      <c r="F316" s="21">
        <f>'Fiscal Forecasts'!F$277</f>
        <v>0</v>
      </c>
      <c r="G316" s="21">
        <f>'Fiscal Forecasts'!G$277</f>
        <v>0</v>
      </c>
      <c r="H316" s="21">
        <f>'Fiscal Forecasts'!H$277</f>
        <v>0</v>
      </c>
      <c r="I316" s="21">
        <f>'Fiscal Forecasts'!I$277</f>
        <v>0</v>
      </c>
      <c r="J316" s="21">
        <f>'Fiscal Forecasts'!J$277</f>
        <v>0</v>
      </c>
      <c r="K316" s="21">
        <f>'Fiscal Forecasts'!K$277</f>
        <v>0</v>
      </c>
      <c r="L316" s="21">
        <f>'Fiscal Forecasts'!L$277</f>
        <v>0</v>
      </c>
      <c r="M316" s="21">
        <f>'Fiscal Forecasts'!M$277</f>
        <v>0</v>
      </c>
      <c r="N316" s="21">
        <f>'Fiscal Forecasts'!N$277</f>
        <v>0</v>
      </c>
      <c r="O316" s="24">
        <f>'Fiscal Forecasts'!O$277</f>
        <v>0</v>
      </c>
      <c r="P316" s="24">
        <f>'Fiscal Forecasts'!P$277</f>
        <v>0.1</v>
      </c>
      <c r="Q316" s="24">
        <f>'Fiscal Forecasts'!Q$277</f>
        <v>0.3</v>
      </c>
      <c r="R316" s="24">
        <f>'Fiscal Forecasts'!R$277</f>
        <v>0.25</v>
      </c>
      <c r="S316" s="24">
        <f>'Fiscal Forecasts'!S$277</f>
        <v>0.25</v>
      </c>
      <c r="T316" s="26">
        <f ca="1">IF(T$4=OFFSET(Choices!$B$10,0,$C$1),0,S$316)</f>
        <v>0</v>
      </c>
      <c r="U316" s="26">
        <f ca="1">IF(U$4=OFFSET(Choices!$B$10,0,$C$1),0,T$316)</f>
        <v>0</v>
      </c>
      <c r="V316" s="26">
        <f ca="1">IF(V$4=OFFSET(Choices!$B$10,0,$C$1),0,U$316)</f>
        <v>0</v>
      </c>
      <c r="W316" s="26">
        <f ca="1">IF(W$4=OFFSET(Choices!$B$10,0,$C$1),0,V$316)</f>
        <v>0</v>
      </c>
      <c r="X316" s="26">
        <f ca="1">IF(X$4=OFFSET(Choices!$B$10,0,$C$1),0,W$316)</f>
        <v>0</v>
      </c>
      <c r="Y316" s="26">
        <f ca="1">IF(Y$4=OFFSET(Choices!$B$10,0,$C$1),0,X$316)</f>
        <v>0</v>
      </c>
      <c r="Z316" s="26">
        <f ca="1">IF(Z$4=OFFSET(Choices!$B$10,0,$C$1),0,Y$316)</f>
        <v>0</v>
      </c>
      <c r="AA316" s="26">
        <f ca="1">IF(AA$4=OFFSET(Choices!$B$10,0,$C$1),0,Z$316)</f>
        <v>0</v>
      </c>
      <c r="AB316" s="26">
        <f ca="1">IF(AB$4=OFFSET(Choices!$B$10,0,$C$1),0,AA$316)</f>
        <v>0</v>
      </c>
      <c r="AC316" s="26">
        <f ca="1">IF(AC$4=OFFSET(Choices!$B$10,0,$C$1),0,AB$316)</f>
        <v>0</v>
      </c>
    </row>
    <row r="317" spans="1:29" x14ac:dyDescent="0.2">
      <c r="A317" s="3" t="s">
        <v>556</v>
      </c>
      <c r="B317" s="4" t="str">
        <f t="shared" si="176"/>
        <v>From Fiscal Forecasts</v>
      </c>
      <c r="F317" s="21">
        <f>'Fiscal Forecasts'!F$278</f>
        <v>0</v>
      </c>
      <c r="G317" s="21">
        <f>'Fiscal Forecasts'!G$278</f>
        <v>0</v>
      </c>
      <c r="H317" s="21">
        <f>'Fiscal Forecasts'!H$278</f>
        <v>0</v>
      </c>
      <c r="I317" s="21">
        <f>'Fiscal Forecasts'!I$278</f>
        <v>0</v>
      </c>
      <c r="J317" s="21">
        <f>'Fiscal Forecasts'!J$278</f>
        <v>0</v>
      </c>
      <c r="K317" s="21">
        <f>'Fiscal Forecasts'!K$278</f>
        <v>0</v>
      </c>
      <c r="L317" s="21">
        <f>'Fiscal Forecasts'!L$278</f>
        <v>0</v>
      </c>
      <c r="M317" s="21">
        <f>'Fiscal Forecasts'!M$278</f>
        <v>0</v>
      </c>
      <c r="N317" s="21">
        <f>'Fiscal Forecasts'!N$278</f>
        <v>0</v>
      </c>
      <c r="O317" s="24">
        <f>'Fiscal Forecasts'!O$278</f>
        <v>0</v>
      </c>
      <c r="P317" s="24">
        <f>'Fiscal Forecasts'!P$278</f>
        <v>0</v>
      </c>
      <c r="Q317" s="24">
        <f>'Fiscal Forecasts'!Q$278</f>
        <v>0.1</v>
      </c>
      <c r="R317" s="24">
        <f>'Fiscal Forecasts'!R$278</f>
        <v>0.3</v>
      </c>
      <c r="S317" s="24">
        <f>'Fiscal Forecasts'!S$278</f>
        <v>0.25</v>
      </c>
      <c r="T317" s="26">
        <f ca="1">IF(T$4=OFFSET(Choices!$B$10,0,$C$1),OFFSET(T$322,0,-3)-SUM(OFFSET(T$317,0,-5,1,5)),0)</f>
        <v>0.26800000000000002</v>
      </c>
      <c r="U317" s="26">
        <f ca="1">IF(U$4=OFFSET(Choices!$B$10,0,$C$1),OFFSET(U$322,0,-3)-SUM(OFFSET(U$317,0,-5,1,5)),0)</f>
        <v>0</v>
      </c>
      <c r="V317" s="26">
        <f ca="1">IF(V$4=OFFSET(Choices!$B$10,0,$C$1),OFFSET(V$322,0,-3)-SUM(OFFSET(V$317,0,-5,1,5)),0)</f>
        <v>0</v>
      </c>
      <c r="W317" s="26">
        <f ca="1">IF(W$4=OFFSET(Choices!$B$10,0,$C$1),OFFSET(W$322,0,-3)-SUM(OFFSET(W$317,0,-5,1,5)),0)</f>
        <v>0</v>
      </c>
      <c r="X317" s="26">
        <f ca="1">IF(X$4=OFFSET(Choices!$B$10,0,$C$1),OFFSET(X$322,0,-3)-SUM(OFFSET(X$317,0,-5,1,5)),0)</f>
        <v>0</v>
      </c>
      <c r="Y317" s="26">
        <f ca="1">IF(Y$4=OFFSET(Choices!$B$10,0,$C$1),OFFSET(Y$322,0,-3)-SUM(OFFSET(Y$317,0,-5,1,5)),0)</f>
        <v>0</v>
      </c>
      <c r="Z317" s="26">
        <f ca="1">IF(Z$4=OFFSET(Choices!$B$10,0,$C$1),OFFSET(Z$322,0,-3)-SUM(OFFSET(Z$317,0,-5,1,5)),0)</f>
        <v>0</v>
      </c>
      <c r="AA317" s="26">
        <f ca="1">IF(AA$4=OFFSET(Choices!$B$10,0,$C$1),OFFSET(AA$322,0,-3)-SUM(OFFSET(AA$317,0,-5,1,5)),0)</f>
        <v>0</v>
      </c>
      <c r="AB317" s="26">
        <f ca="1">IF(AB$4=OFFSET(Choices!$B$10,0,$C$1),OFFSET(AB$322,0,-3)-SUM(OFFSET(AB$317,0,-5,1,5)),0)</f>
        <v>0</v>
      </c>
      <c r="AC317" s="26">
        <f ca="1">IF(AC$4=OFFSET(Choices!$B$10,0,$C$1),OFFSET(AC$322,0,-3)-SUM(OFFSET(AC$317,0,-5,1,5)),0)</f>
        <v>0</v>
      </c>
    </row>
    <row r="318" spans="1:29" x14ac:dyDescent="0.2">
      <c r="A318" s="3" t="s">
        <v>557</v>
      </c>
      <c r="B318" s="4" t="str">
        <f t="shared" si="176"/>
        <v>From Fiscal Forecasts</v>
      </c>
      <c r="F318" s="21">
        <f>'Fiscal Forecasts'!F$279</f>
        <v>0</v>
      </c>
      <c r="G318" s="21">
        <f>'Fiscal Forecasts'!G$279</f>
        <v>0</v>
      </c>
      <c r="H318" s="21">
        <f>'Fiscal Forecasts'!H$279</f>
        <v>0</v>
      </c>
      <c r="I318" s="21">
        <f>'Fiscal Forecasts'!I$279</f>
        <v>0</v>
      </c>
      <c r="J318" s="21">
        <f>'Fiscal Forecasts'!J$279</f>
        <v>0</v>
      </c>
      <c r="K318" s="21">
        <f>'Fiscal Forecasts'!K$279</f>
        <v>0</v>
      </c>
      <c r="L318" s="21">
        <f>'Fiscal Forecasts'!L$279</f>
        <v>0</v>
      </c>
      <c r="M318" s="21">
        <f>'Fiscal Forecasts'!M$279</f>
        <v>0</v>
      </c>
      <c r="N318" s="21">
        <f>'Fiscal Forecasts'!N$279</f>
        <v>0</v>
      </c>
      <c r="O318" s="24">
        <f>'Fiscal Forecasts'!O$279</f>
        <v>0</v>
      </c>
      <c r="P318" s="24">
        <f>'Fiscal Forecasts'!P$279</f>
        <v>0</v>
      </c>
      <c r="Q318" s="24">
        <f>'Fiscal Forecasts'!Q$279</f>
        <v>0</v>
      </c>
      <c r="R318" s="24">
        <f>'Fiscal Forecasts'!R$279</f>
        <v>0.1</v>
      </c>
      <c r="S318" s="24">
        <f>'Fiscal Forecasts'!S$279</f>
        <v>0.3</v>
      </c>
      <c r="T318" s="26">
        <f ca="1">IF(T$4=OFFSET(Choices!$B$10,0,$C$1),(OFFSET(T$322,0,-2)-SUM(OFFSET(T$318,0,-5,1,5)))/2,IF(S$4=OFFSET(Choices!$B$10,0,$C$1),S$318,0))</f>
        <v>0.26800000000000002</v>
      </c>
      <c r="U318" s="26">
        <f ca="1">IF(U$4=OFFSET(Choices!$B$10,0,$C$1),(OFFSET(U$322,0,-2)-SUM(OFFSET(U$318,0,-5,1,5)))/2,IF(T$4=OFFSET(Choices!$B$10,0,$C$1),T$318,0))</f>
        <v>0.26800000000000002</v>
      </c>
      <c r="V318" s="26">
        <f ca="1">IF(V$4=OFFSET(Choices!$B$10,0,$C$1),(OFFSET(V$322,0,-2)-SUM(OFFSET(V$318,0,-5,1,5)))/2,IF(U$4=OFFSET(Choices!$B$10,0,$C$1),U$318,0))</f>
        <v>0</v>
      </c>
      <c r="W318" s="26">
        <f ca="1">IF(W$4=OFFSET(Choices!$B$10,0,$C$1),(OFFSET(W$322,0,-2)-SUM(OFFSET(W$318,0,-5,1,5)))/2,IF(V$4=OFFSET(Choices!$B$10,0,$C$1),V$318,0))</f>
        <v>0</v>
      </c>
      <c r="X318" s="26">
        <f ca="1">IF(X$4=OFFSET(Choices!$B$10,0,$C$1),(OFFSET(X$322,0,-2)-SUM(OFFSET(X$318,0,-5,1,5)))/2,IF(W$4=OFFSET(Choices!$B$10,0,$C$1),W$318,0))</f>
        <v>0</v>
      </c>
      <c r="Y318" s="26">
        <f ca="1">IF(Y$4=OFFSET(Choices!$B$10,0,$C$1),(OFFSET(Y$322,0,-2)-SUM(OFFSET(Y$318,0,-5,1,5)))/2,IF(X$4=OFFSET(Choices!$B$10,0,$C$1),X$318,0))</f>
        <v>0</v>
      </c>
      <c r="Z318" s="26">
        <f ca="1">IF(Z$4=OFFSET(Choices!$B$10,0,$C$1),(OFFSET(Z$322,0,-2)-SUM(OFFSET(Z$318,0,-5,1,5)))/2,IF(Y$4=OFFSET(Choices!$B$10,0,$C$1),Y$318,0))</f>
        <v>0</v>
      </c>
      <c r="AA318" s="26">
        <f ca="1">IF(AA$4=OFFSET(Choices!$B$10,0,$C$1),(OFFSET(AA$322,0,-2)-SUM(OFFSET(AA$318,0,-5,1,5)))/2,IF(Z$4=OFFSET(Choices!$B$10,0,$C$1),Z$318,0))</f>
        <v>0</v>
      </c>
      <c r="AB318" s="26">
        <f ca="1">IF(AB$4=OFFSET(Choices!$B$10,0,$C$1),(OFFSET(AB$322,0,-2)-SUM(OFFSET(AB$318,0,-5,1,5)))/2,IF(AA$4=OFFSET(Choices!$B$10,0,$C$1),AA$318,0))</f>
        <v>0</v>
      </c>
      <c r="AC318" s="26">
        <f ca="1">IF(AC$4=OFFSET(Choices!$B$10,0,$C$1),(OFFSET(AC$322,0,-2)-SUM(OFFSET(AC$318,0,-5,1,5)))/2,IF(AB$4=OFFSET(Choices!$B$10,0,$C$1),AB$318,0))</f>
        <v>0</v>
      </c>
    </row>
    <row r="319" spans="1:29" x14ac:dyDescent="0.2">
      <c r="A319" s="3" t="s">
        <v>558</v>
      </c>
      <c r="B319" s="4" t="str">
        <f t="shared" si="176"/>
        <v>From Fiscal Forecasts</v>
      </c>
      <c r="F319" s="21">
        <f>'Fiscal Forecasts'!F$280</f>
        <v>0</v>
      </c>
      <c r="G319" s="21">
        <f>'Fiscal Forecasts'!G$280</f>
        <v>0</v>
      </c>
      <c r="H319" s="21">
        <f>'Fiscal Forecasts'!H$280</f>
        <v>0</v>
      </c>
      <c r="I319" s="21">
        <f>'Fiscal Forecasts'!I$280</f>
        <v>0</v>
      </c>
      <c r="J319" s="21">
        <f>'Fiscal Forecasts'!J$280</f>
        <v>0</v>
      </c>
      <c r="K319" s="21">
        <f>'Fiscal Forecasts'!K$280</f>
        <v>0</v>
      </c>
      <c r="L319" s="21">
        <f>'Fiscal Forecasts'!L$280</f>
        <v>0</v>
      </c>
      <c r="M319" s="21">
        <f>'Fiscal Forecasts'!M$280</f>
        <v>0</v>
      </c>
      <c r="N319" s="21">
        <f>'Fiscal Forecasts'!N$280</f>
        <v>0</v>
      </c>
      <c r="O319" s="24">
        <f>'Fiscal Forecasts'!O$280</f>
        <v>0</v>
      </c>
      <c r="P319" s="24">
        <f>'Fiscal Forecasts'!P$280</f>
        <v>0</v>
      </c>
      <c r="Q319" s="24">
        <f>'Fiscal Forecasts'!Q$280</f>
        <v>0</v>
      </c>
      <c r="R319" s="24">
        <f>'Fiscal Forecasts'!R$280</f>
        <v>0</v>
      </c>
      <c r="S319" s="24">
        <f>'Fiscal Forecasts'!S$280</f>
        <v>0.1</v>
      </c>
      <c r="T319" s="26">
        <f ca="1">IF(T$4=OFFSET(Choices!$B$10,0,$C$1),(OFFSET(T$322,0,-1)-SUM(OFFSET(T$319,0,-5,1,5)))/3,IF(OR(S$4=OFFSET(Choices!$B$10,0,$C$1),R$4=OFFSET(Choices!$B$10,0,$C$1)),S$319,0))</f>
        <v>0.28499999999999998</v>
      </c>
      <c r="U319" s="26">
        <f ca="1">IF(U$4=OFFSET(Choices!$B$10,0,$C$1),(OFFSET(U$322,0,-1)-SUM(OFFSET(U$319,0,-5,1,5)))/3,IF(OR(T$4=OFFSET(Choices!$B$10,0,$C$1),S$4=OFFSET(Choices!$B$10,0,$C$1)),T$319,0))</f>
        <v>0.28499999999999998</v>
      </c>
      <c r="V319" s="26">
        <f ca="1">IF(V$4=OFFSET(Choices!$B$10,0,$C$1),(OFFSET(V$322,0,-1)-SUM(OFFSET(V$319,0,-5,1,5)))/3,IF(OR(U$4=OFFSET(Choices!$B$10,0,$C$1),T$4=OFFSET(Choices!$B$10,0,$C$1)),U$319,0))</f>
        <v>0.28499999999999998</v>
      </c>
      <c r="W319" s="26">
        <f ca="1">IF(W$4=OFFSET(Choices!$B$10,0,$C$1),(OFFSET(W$322,0,-1)-SUM(OFFSET(W$319,0,-5,1,5)))/3,IF(OR(V$4=OFFSET(Choices!$B$10,0,$C$1),U$4=OFFSET(Choices!$B$10,0,$C$1)),V$319,0))</f>
        <v>0</v>
      </c>
      <c r="X319" s="26">
        <f ca="1">IF(X$4=OFFSET(Choices!$B$10,0,$C$1),(OFFSET(X$322,0,-1)-SUM(OFFSET(X$319,0,-5,1,5)))/3,IF(OR(W$4=OFFSET(Choices!$B$10,0,$C$1),V$4=OFFSET(Choices!$B$10,0,$C$1)),W$319,0))</f>
        <v>0</v>
      </c>
      <c r="Y319" s="26">
        <f ca="1">IF(Y$4=OFFSET(Choices!$B$10,0,$C$1),(OFFSET(Y$322,0,-1)-SUM(OFFSET(Y$319,0,-5,1,5)))/3,IF(OR(X$4=OFFSET(Choices!$B$10,0,$C$1),W$4=OFFSET(Choices!$B$10,0,$C$1)),X$319,0))</f>
        <v>0</v>
      </c>
      <c r="Z319" s="26">
        <f ca="1">IF(Z$4=OFFSET(Choices!$B$10,0,$C$1),(OFFSET(Z$322,0,-1)-SUM(OFFSET(Z$319,0,-5,1,5)))/3,IF(OR(Y$4=OFFSET(Choices!$B$10,0,$C$1),X$4=OFFSET(Choices!$B$10,0,$C$1)),Y$319,0))</f>
        <v>0</v>
      </c>
      <c r="AA319" s="26">
        <f ca="1">IF(AA$4=OFFSET(Choices!$B$10,0,$C$1),(OFFSET(AA$322,0,-1)-SUM(OFFSET(AA$319,0,-5,1,5)))/3,IF(OR(Z$4=OFFSET(Choices!$B$10,0,$C$1),Y$4=OFFSET(Choices!$B$10,0,$C$1)),Z$319,0))</f>
        <v>0</v>
      </c>
      <c r="AB319" s="26">
        <f ca="1">IF(AB$4=OFFSET(Choices!$B$10,0,$C$1),(OFFSET(AB$322,0,-1)-SUM(OFFSET(AB$319,0,-5,1,5)))/3,IF(OR(AA$4=OFFSET(Choices!$B$10,0,$C$1),Z$4=OFFSET(Choices!$B$10,0,$C$1)),AA$319,0))</f>
        <v>0</v>
      </c>
      <c r="AC319" s="26">
        <f ca="1">IF(AC$4=OFFSET(Choices!$B$10,0,$C$1),(OFFSET(AC$322,0,-1)-SUM(OFFSET(AC$319,0,-5,1,5)))/3,IF(OR(AB$4=OFFSET(Choices!$B$10,0,$C$1),AA$4=OFFSET(Choices!$B$10,0,$C$1)),AB$319,0))</f>
        <v>0</v>
      </c>
    </row>
    <row r="320" spans="1:29" x14ac:dyDescent="0.2">
      <c r="A320" s="3" t="s">
        <v>559</v>
      </c>
      <c r="B320" s="4"/>
      <c r="E320" s="61">
        <f>0</f>
        <v>0</v>
      </c>
      <c r="F320" s="21">
        <f>E$320</f>
        <v>0</v>
      </c>
      <c r="G320" s="21">
        <f t="shared" ref="G320:S320" si="177">F$320</f>
        <v>0</v>
      </c>
      <c r="H320" s="21">
        <f t="shared" si="177"/>
        <v>0</v>
      </c>
      <c r="I320" s="21">
        <f t="shared" si="177"/>
        <v>0</v>
      </c>
      <c r="J320" s="21">
        <f t="shared" si="177"/>
        <v>0</v>
      </c>
      <c r="K320" s="21">
        <f t="shared" si="177"/>
        <v>0</v>
      </c>
      <c r="L320" s="21">
        <f t="shared" si="177"/>
        <v>0</v>
      </c>
      <c r="M320" s="21">
        <f t="shared" si="177"/>
        <v>0</v>
      </c>
      <c r="N320" s="21">
        <f t="shared" si="177"/>
        <v>0</v>
      </c>
      <c r="O320" s="24">
        <f t="shared" si="177"/>
        <v>0</v>
      </c>
      <c r="P320" s="24">
        <f t="shared" si="177"/>
        <v>0</v>
      </c>
      <c r="Q320" s="24">
        <f t="shared" si="177"/>
        <v>0</v>
      </c>
      <c r="R320" s="24">
        <f t="shared" si="177"/>
        <v>0</v>
      </c>
      <c r="S320" s="24">
        <f t="shared" si="177"/>
        <v>0</v>
      </c>
      <c r="T320" s="26">
        <f ca="1">IF(T$4=OFFSET(Choices!$B$10,0,$C$1),T$322,IF(S$4=OFFSET(Choices!$B$10,0,$C$1),SUM(S$322:T$322),IF(R$4=OFFSET(Choices!$B$10,0,$C$1),SUM(R$322:T$322),SUM(Q$322:T$322))))/4</f>
        <v>0.24349999999999999</v>
      </c>
      <c r="U320" s="26">
        <f ca="1">IF(U$4=OFFSET(Choices!$B$10,0,$C$1),U$322,IF(T$4=OFFSET(Choices!$B$10,0,$C$1),SUM(T$322:U$322),IF(S$4=OFFSET(Choices!$B$10,0,$C$1),SUM(S$322:U$322),SUM(R$322:U$322))))/4</f>
        <v>0.49187000000000003</v>
      </c>
      <c r="V320" s="26">
        <f ca="1">IF(V$4=OFFSET(Choices!$B$10,0,$C$1),V$322,IF(U$4=OFFSET(Choices!$B$10,0,$C$1),SUM(U$322:V$322),IF(T$4=OFFSET(Choices!$B$10,0,$C$1),SUM(T$322:V$322),SUM(S$322:V$322))))/4</f>
        <v>0.74520739999999996</v>
      </c>
      <c r="W320" s="26">
        <f ca="1">IF(W$4=OFFSET(Choices!$B$10,0,$C$1),W$322,IF(V$4=OFFSET(Choices!$B$10,0,$C$1),SUM(V$322:W$322),IF(U$4=OFFSET(Choices!$B$10,0,$C$1),SUM(U$322:W$322),SUM(T$322:W$322))))/4</f>
        <v>1.0036115479999999</v>
      </c>
      <c r="X320" s="26">
        <f ca="1">IF(X$4=OFFSET(Choices!$B$10,0,$C$1),X$322,IF(W$4=OFFSET(Choices!$B$10,0,$C$1),SUM(W$322:X$322),IF(V$4=OFFSET(Choices!$B$10,0,$C$1),SUM(V$322:X$322),SUM(U$322:X$322))))/4</f>
        <v>1.02368377896</v>
      </c>
      <c r="Y320" s="26">
        <f ca="1">IF(Y$4=OFFSET(Choices!$B$10,0,$C$1),Y$322,IF(X$4=OFFSET(Choices!$B$10,0,$C$1),SUM(X$322:Y$322),IF(W$4=OFFSET(Choices!$B$10,0,$C$1),SUM(W$322:Y$322),SUM(V$322:Y$322))))/4</f>
        <v>1.0441574545391998</v>
      </c>
      <c r="Z320" s="26">
        <f ca="1">IF(Z$4=OFFSET(Choices!$B$10,0,$C$1),Z$322,IF(Y$4=OFFSET(Choices!$B$10,0,$C$1),SUM(Y$322:Z$322),IF(X$4=OFFSET(Choices!$B$10,0,$C$1),SUM(X$322:Z$322),SUM(W$322:Z$322))))/4</f>
        <v>1.065040603629984</v>
      </c>
      <c r="AA320" s="26">
        <f ca="1">IF(AA$4=OFFSET(Choices!$B$10,0,$C$1),AA$322,IF(Z$4=OFFSET(Choices!$B$10,0,$C$1),SUM(Z$322:AA$322),IF(Y$4=OFFSET(Choices!$B$10,0,$C$1),SUM(Y$322:AA$322),SUM(X$322:AA$322))))/4</f>
        <v>1.0863414157025837</v>
      </c>
      <c r="AB320" s="26">
        <f ca="1">IF(AB$4=OFFSET(Choices!$B$10,0,$C$1),AB$322,IF(AA$4=OFFSET(Choices!$B$10,0,$C$1),SUM(AA$322:AB$322),IF(Z$4=OFFSET(Choices!$B$10,0,$C$1),SUM(Z$322:AB$322),SUM(Y$322:AB$322))))/4</f>
        <v>1.1080682440166352</v>
      </c>
      <c r="AC320" s="26">
        <f ca="1">IF(AC$4=OFFSET(Choices!$B$10,0,$C$1),AC$322,IF(AB$4=OFFSET(Choices!$B$10,0,$C$1),SUM(AB$322:AC$322),IF(AA$4=OFFSET(Choices!$B$10,0,$C$1),SUM(AA$322:AC$322),SUM(Z$322:AC$322))))/4</f>
        <v>1.1302296088969679</v>
      </c>
    </row>
    <row r="321" spans="1:29" x14ac:dyDescent="0.2">
      <c r="A321" s="31" t="s">
        <v>572</v>
      </c>
      <c r="B321" s="4"/>
      <c r="F321" s="23">
        <f>SUM(F$314:F$320)</f>
        <v>0</v>
      </c>
      <c r="G321" s="23">
        <f t="shared" ref="G321:AC321" si="178">SUM(G$314:G$320)</f>
        <v>0</v>
      </c>
      <c r="H321" s="23">
        <f t="shared" si="178"/>
        <v>0</v>
      </c>
      <c r="I321" s="23">
        <f t="shared" si="178"/>
        <v>0</v>
      </c>
      <c r="J321" s="23">
        <f t="shared" si="178"/>
        <v>0</v>
      </c>
      <c r="K321" s="23">
        <f t="shared" si="178"/>
        <v>0</v>
      </c>
      <c r="L321" s="23">
        <f t="shared" si="178"/>
        <v>0</v>
      </c>
      <c r="M321" s="23">
        <f t="shared" si="178"/>
        <v>0</v>
      </c>
      <c r="N321" s="23">
        <f t="shared" si="178"/>
        <v>0</v>
      </c>
      <c r="O321" s="25">
        <f t="shared" si="178"/>
        <v>0.45099999999999996</v>
      </c>
      <c r="P321" s="25">
        <f t="shared" si="178"/>
        <v>0.79599999999999993</v>
      </c>
      <c r="Q321" s="25">
        <f t="shared" si="178"/>
        <v>0.66600000000000004</v>
      </c>
      <c r="R321" s="25">
        <f t="shared" si="178"/>
        <v>0.73499999999999999</v>
      </c>
      <c r="S321" s="25">
        <f t="shared" si="178"/>
        <v>0.91299999999999992</v>
      </c>
      <c r="T321" s="69">
        <f t="shared" ca="1" si="178"/>
        <v>1.0645</v>
      </c>
      <c r="U321" s="69">
        <f t="shared" ca="1" si="178"/>
        <v>1.04487</v>
      </c>
      <c r="V321" s="69">
        <f t="shared" ca="1" si="178"/>
        <v>1.0302073999999999</v>
      </c>
      <c r="W321" s="69">
        <f t="shared" ca="1" si="178"/>
        <v>1.0036115479999999</v>
      </c>
      <c r="X321" s="69">
        <f t="shared" ca="1" si="178"/>
        <v>1.02368377896</v>
      </c>
      <c r="Y321" s="69">
        <f t="shared" ca="1" si="178"/>
        <v>1.0441574545391998</v>
      </c>
      <c r="Z321" s="69">
        <f t="shared" ca="1" si="178"/>
        <v>1.065040603629984</v>
      </c>
      <c r="AA321" s="69">
        <f t="shared" ca="1" si="178"/>
        <v>1.0863414157025837</v>
      </c>
      <c r="AB321" s="69">
        <f t="shared" ca="1" si="178"/>
        <v>1.1080682440166352</v>
      </c>
      <c r="AC321" s="69">
        <f t="shared" ca="1" si="178"/>
        <v>1.1302296088969679</v>
      </c>
    </row>
    <row r="322" spans="1:29" x14ac:dyDescent="0.2">
      <c r="A322" s="31" t="s">
        <v>909</v>
      </c>
      <c r="B322" s="4" t="str">
        <f>$B$46</f>
        <v>From Fiscal Forecasts</v>
      </c>
      <c r="F322" s="21">
        <f>'Fiscal Forecasts'!F$282</f>
        <v>0</v>
      </c>
      <c r="G322" s="21">
        <f>'Fiscal Forecasts'!G$282</f>
        <v>0</v>
      </c>
      <c r="H322" s="21">
        <f>'Fiscal Forecasts'!H$282</f>
        <v>0</v>
      </c>
      <c r="I322" s="21">
        <f>'Fiscal Forecasts'!I$282</f>
        <v>0</v>
      </c>
      <c r="J322" s="21">
        <f>'Fiscal Forecasts'!J$282</f>
        <v>0</v>
      </c>
      <c r="K322" s="21">
        <f>'Fiscal Forecasts'!K$282</f>
        <v>0</v>
      </c>
      <c r="L322" s="21">
        <f>'Fiscal Forecasts'!L$282</f>
        <v>0</v>
      </c>
      <c r="M322" s="21">
        <f>'Fiscal Forecasts'!M$282</f>
        <v>0</v>
      </c>
      <c r="N322" s="21">
        <f>'Fiscal Forecasts'!N$282</f>
        <v>0</v>
      </c>
      <c r="O322" s="24">
        <f>'Fiscal Forecasts'!O$282</f>
        <v>0.70799999999999996</v>
      </c>
      <c r="P322" s="24">
        <f>'Fiscal Forecasts'!P$282</f>
        <v>0.9</v>
      </c>
      <c r="Q322" s="24">
        <f>'Fiscal Forecasts'!Q$282</f>
        <v>0.91800000000000004</v>
      </c>
      <c r="R322" s="24">
        <f>'Fiscal Forecasts'!R$282</f>
        <v>0.93600000000000005</v>
      </c>
      <c r="S322" s="24">
        <f>'Fiscal Forecasts'!S$282</f>
        <v>0.95499999999999996</v>
      </c>
      <c r="T322" s="26">
        <f ca="1">IF(T$4=OFFSET(Choices!$B$10,0,$C$1),OFFSET(Choices!$B$54,0,$C$1),S$322*(1+OFFSET(Choices!$B$56,0,$C$1)))</f>
        <v>0.97399999999999998</v>
      </c>
      <c r="U322" s="26">
        <f ca="1">IF(U$4=OFFSET(Choices!$B$10,0,$C$1),OFFSET(Choices!$B$54,0,$C$1),T$322*(1+OFFSET(Choices!$B$56,0,$C$1)))</f>
        <v>0.99348000000000003</v>
      </c>
      <c r="V322" s="26">
        <f ca="1">IF(V$4=OFFSET(Choices!$B$10,0,$C$1),OFFSET(Choices!$B$54,0,$C$1),U$322*(1+OFFSET(Choices!$B$56,0,$C$1)))</f>
        <v>1.0133496</v>
      </c>
      <c r="W322" s="26">
        <f ca="1">IF(W$4=OFFSET(Choices!$B$10,0,$C$1),OFFSET(Choices!$B$54,0,$C$1),V$322*(1+OFFSET(Choices!$B$56,0,$C$1)))</f>
        <v>1.033616592</v>
      </c>
      <c r="X322" s="26">
        <f ca="1">IF(X$4=OFFSET(Choices!$B$10,0,$C$1),OFFSET(Choices!$B$54,0,$C$1),W$322*(1+OFFSET(Choices!$B$56,0,$C$1)))</f>
        <v>1.0542889238399999</v>
      </c>
      <c r="Y322" s="26">
        <f ca="1">IF(Y$4=OFFSET(Choices!$B$10,0,$C$1),OFFSET(Choices!$B$54,0,$C$1),X$322*(1+OFFSET(Choices!$B$56,0,$C$1)))</f>
        <v>1.0753747023167999</v>
      </c>
      <c r="Z322" s="26">
        <f ca="1">IF(Z$4=OFFSET(Choices!$B$10,0,$C$1),OFFSET(Choices!$B$54,0,$C$1),Y$322*(1+OFFSET(Choices!$B$56,0,$C$1)))</f>
        <v>1.0968821963631359</v>
      </c>
      <c r="AA322" s="26">
        <f ca="1">IF(AA$4=OFFSET(Choices!$B$10,0,$C$1),OFFSET(Choices!$B$54,0,$C$1),Z$322*(1+OFFSET(Choices!$B$56,0,$C$1)))</f>
        <v>1.1188198402903986</v>
      </c>
      <c r="AB322" s="26">
        <f ca="1">IF(AB$4=OFFSET(Choices!$B$10,0,$C$1),OFFSET(Choices!$B$54,0,$C$1),AA$322*(1+OFFSET(Choices!$B$56,0,$C$1)))</f>
        <v>1.1411962370962065</v>
      </c>
      <c r="AC322" s="26">
        <f ca="1">IF(AC$4=OFFSET(Choices!$B$10,0,$C$1),OFFSET(Choices!$B$54,0,$C$1),AB$322*(1+OFFSET(Choices!$B$56,0,$C$1)))</f>
        <v>1.1640201618381307</v>
      </c>
    </row>
    <row r="323" spans="1:29" x14ac:dyDescent="0.2">
      <c r="A323" s="31" t="s">
        <v>560</v>
      </c>
      <c r="B323" s="4" t="str">
        <f>$B$46</f>
        <v>From Fiscal Forecasts</v>
      </c>
      <c r="F323" s="23">
        <f>'Fiscal Forecasts'!F$123</f>
        <v>0</v>
      </c>
      <c r="G323" s="23">
        <f>'Fiscal Forecasts'!G$123</f>
        <v>0</v>
      </c>
      <c r="H323" s="23">
        <f>'Fiscal Forecasts'!H$123</f>
        <v>0</v>
      </c>
      <c r="I323" s="23">
        <f>'Fiscal Forecasts'!I$123</f>
        <v>0</v>
      </c>
      <c r="J323" s="23">
        <f>'Fiscal Forecasts'!J$123</f>
        <v>0</v>
      </c>
      <c r="K323" s="23">
        <f>'Fiscal Forecasts'!K$123</f>
        <v>0</v>
      </c>
      <c r="L323" s="23">
        <f>'Fiscal Forecasts'!L$123</f>
        <v>0</v>
      </c>
      <c r="M323" s="23">
        <f>'Fiscal Forecasts'!M$123</f>
        <v>0</v>
      </c>
      <c r="N323" s="23">
        <f>'Fiscal Forecasts'!N$123</f>
        <v>0</v>
      </c>
      <c r="O323" s="25">
        <f>'Fiscal Forecasts'!O$123</f>
        <v>0.45100000000000001</v>
      </c>
      <c r="P323" s="25">
        <f>'Fiscal Forecasts'!P$123</f>
        <v>1.2470000000000001</v>
      </c>
      <c r="Q323" s="25">
        <f>'Fiscal Forecasts'!Q$123</f>
        <v>1.913</v>
      </c>
      <c r="R323" s="25">
        <f>'Fiscal Forecasts'!R$123</f>
        <v>2.6480000000000001</v>
      </c>
      <c r="S323" s="25">
        <f>'Fiscal Forecasts'!S$123</f>
        <v>3.5609999999999999</v>
      </c>
      <c r="T323" s="11">
        <f t="shared" ref="T323:AC323" ca="1" si="179">SUM(S$323,T$321)</f>
        <v>4.6254999999999997</v>
      </c>
      <c r="U323" s="11">
        <f t="shared" ca="1" si="179"/>
        <v>5.6703700000000001</v>
      </c>
      <c r="V323" s="11">
        <f t="shared" ca="1" si="179"/>
        <v>6.7005774000000002</v>
      </c>
      <c r="W323" s="11">
        <f t="shared" ca="1" si="179"/>
        <v>7.7041889480000005</v>
      </c>
      <c r="X323" s="11">
        <f t="shared" ca="1" si="179"/>
        <v>8.7278727269600012</v>
      </c>
      <c r="Y323" s="11">
        <f t="shared" ca="1" si="179"/>
        <v>9.7720301814992006</v>
      </c>
      <c r="Z323" s="11">
        <f t="shared" ca="1" si="179"/>
        <v>10.837070785129185</v>
      </c>
      <c r="AA323" s="11">
        <f t="shared" ca="1" si="179"/>
        <v>11.92341220083177</v>
      </c>
      <c r="AB323" s="11">
        <f t="shared" ca="1" si="179"/>
        <v>13.031480444848405</v>
      </c>
      <c r="AC323" s="11">
        <f t="shared" ca="1" si="179"/>
        <v>14.161710053745374</v>
      </c>
    </row>
    <row r="324" spans="1:29" x14ac:dyDescent="0.2">
      <c r="A324" s="31" t="s">
        <v>561</v>
      </c>
      <c r="B324" s="4" t="str">
        <f>$B$46</f>
        <v>From Fiscal Forecasts</v>
      </c>
      <c r="F324" s="23">
        <f>'Fiscal Forecasts'!F$124</f>
        <v>0</v>
      </c>
      <c r="G324" s="23">
        <f>'Fiscal Forecasts'!G$124</f>
        <v>0</v>
      </c>
      <c r="H324" s="23">
        <f>'Fiscal Forecasts'!H$124</f>
        <v>0</v>
      </c>
      <c r="I324" s="23">
        <f>'Fiscal Forecasts'!I$124</f>
        <v>0</v>
      </c>
      <c r="J324" s="23">
        <f>'Fiscal Forecasts'!J$124</f>
        <v>0</v>
      </c>
      <c r="K324" s="23">
        <f>'Fiscal Forecasts'!K$124</f>
        <v>0</v>
      </c>
      <c r="L324" s="23">
        <f>'Fiscal Forecasts'!L$124</f>
        <v>0</v>
      </c>
      <c r="M324" s="23">
        <f>'Fiscal Forecasts'!M$124</f>
        <v>0</v>
      </c>
      <c r="N324" s="23">
        <f>'Fiscal Forecasts'!N$124</f>
        <v>0</v>
      </c>
      <c r="O324" s="25">
        <f>'Fiscal Forecasts'!O$124</f>
        <v>-0.55500000000000005</v>
      </c>
      <c r="P324" s="25">
        <f>'Fiscal Forecasts'!P$124</f>
        <v>-0.63</v>
      </c>
      <c r="Q324" s="25">
        <f>'Fiscal Forecasts'!Q$124</f>
        <v>-0.55500000000000005</v>
      </c>
      <c r="R324" s="25">
        <f>'Fiscal Forecasts'!R$124</f>
        <v>-0.60499999999999998</v>
      </c>
      <c r="S324" s="25">
        <f>'Fiscal Forecasts'!S$124</f>
        <v>-0.65500000000000003</v>
      </c>
      <c r="T324" s="11">
        <f ca="1">S$324*(1+OFFSET(Choices!$B$56,0,$C$1))</f>
        <v>-0.66810000000000003</v>
      </c>
      <c r="U324" s="11">
        <f ca="1">T$324*(1+OFFSET(Choices!$B$56,0,$C$1))</f>
        <v>-0.68146200000000001</v>
      </c>
      <c r="V324" s="11">
        <f ca="1">U$324*(1+OFFSET(Choices!$B$56,0,$C$1))</f>
        <v>-0.69509124</v>
      </c>
      <c r="W324" s="11">
        <f ca="1">V$324*(1+OFFSET(Choices!$B$56,0,$C$1))</f>
        <v>-0.70899306480000002</v>
      </c>
      <c r="X324" s="11">
        <f ca="1">W$324*(1+OFFSET(Choices!$B$56,0,$C$1))</f>
        <v>-0.72317292609600003</v>
      </c>
      <c r="Y324" s="11">
        <f ca="1">X$324*(1+OFFSET(Choices!$B$56,0,$C$1))</f>
        <v>-0.73763638461792003</v>
      </c>
      <c r="Z324" s="11">
        <f ca="1">Y$324*(1+OFFSET(Choices!$B$56,0,$C$1))</f>
        <v>-0.75238911231027839</v>
      </c>
      <c r="AA324" s="11">
        <f ca="1">Z$324*(1+OFFSET(Choices!$B$56,0,$C$1))</f>
        <v>-0.76743689455648401</v>
      </c>
      <c r="AB324" s="11">
        <f ca="1">AA$324*(1+OFFSET(Choices!$B$56,0,$C$1))</f>
        <v>-0.78278563244761368</v>
      </c>
      <c r="AC324" s="11">
        <f ca="1">AB$324*(1+OFFSET(Choices!$B$56,0,$C$1))</f>
        <v>-0.79844134509656595</v>
      </c>
    </row>
    <row r="325" spans="1:29" x14ac:dyDescent="0.2">
      <c r="A325" s="31"/>
      <c r="B325" s="4"/>
      <c r="F325" s="23"/>
      <c r="G325" s="23"/>
      <c r="H325" s="23"/>
      <c r="I325" s="23"/>
      <c r="J325" s="23"/>
      <c r="K325" s="23"/>
      <c r="L325" s="23"/>
      <c r="M325" s="23"/>
      <c r="N325" s="23"/>
      <c r="O325" s="25"/>
      <c r="P325" s="25"/>
      <c r="Q325" s="25"/>
      <c r="R325" s="25"/>
      <c r="S325" s="11"/>
      <c r="T325" s="11"/>
      <c r="U325" s="11"/>
      <c r="V325" s="11"/>
      <c r="W325" s="11"/>
      <c r="X325" s="11"/>
      <c r="Y325" s="11"/>
      <c r="Z325" s="11"/>
      <c r="AA325" s="11"/>
      <c r="AB325" s="11"/>
      <c r="AC325" s="11"/>
    </row>
    <row r="326" spans="1:29" x14ac:dyDescent="0.2">
      <c r="A326" s="31" t="s">
        <v>573</v>
      </c>
      <c r="B326" s="4"/>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c r="AA326" s="30"/>
      <c r="AB326" s="26"/>
      <c r="AC326" s="26"/>
    </row>
    <row r="327" spans="1:29" x14ac:dyDescent="0.2">
      <c r="A327" s="3" t="s">
        <v>412</v>
      </c>
      <c r="B327" s="4" t="str">
        <f>$B$46</f>
        <v>From Fiscal Forecasts</v>
      </c>
      <c r="F327" s="21">
        <f>'Fiscal Forecasts'!F$284</f>
        <v>1.179</v>
      </c>
      <c r="G327" s="21">
        <f>'Fiscal Forecasts'!G$284</f>
        <v>0.35299999999999998</v>
      </c>
      <c r="H327" s="21">
        <f>'Fiscal Forecasts'!H$284</f>
        <v>-1.6160000000000001</v>
      </c>
      <c r="I327" s="21">
        <f>'Fiscal Forecasts'!I$284</f>
        <v>2.0939999999999999</v>
      </c>
      <c r="J327" s="21">
        <f>'Fiscal Forecasts'!J$284</f>
        <v>4.1159999999999997</v>
      </c>
      <c r="K327" s="21">
        <f>'Fiscal Forecasts'!K$284</f>
        <v>0.52600000000000002</v>
      </c>
      <c r="L327" s="21">
        <f>'Fiscal Forecasts'!L$284</f>
        <v>5.0810000000000004</v>
      </c>
      <c r="M327" s="21">
        <f>'Fiscal Forecasts'!M$284</f>
        <v>4.0449999999999999</v>
      </c>
      <c r="N327" s="21">
        <f>'Fiscal Forecasts'!N$284</f>
        <v>4.3890000000000002</v>
      </c>
      <c r="O327" s="24">
        <f>'Fiscal Forecasts'!O$284</f>
        <v>0.65</v>
      </c>
      <c r="P327" s="24">
        <f>'Fiscal Forecasts'!P$284</f>
        <v>2.02</v>
      </c>
      <c r="Q327" s="24">
        <f>'Fiscal Forecasts'!Q$284</f>
        <v>2.15</v>
      </c>
      <c r="R327" s="24">
        <f>'Fiscal Forecasts'!R$284</f>
        <v>2.3140000000000001</v>
      </c>
      <c r="S327" s="24">
        <f>'Fiscal Forecasts'!S$284</f>
        <v>2.4790000000000001</v>
      </c>
      <c r="T327" s="26">
        <f t="shared" ref="T327:AC327" ca="1" si="180">(S$327-S$365)*T$11/S$11+T$365</f>
        <v>2.2646006622260422</v>
      </c>
      <c r="U327" s="26">
        <f t="shared" ca="1" si="180"/>
        <v>2.4543087058792539</v>
      </c>
      <c r="V327" s="26">
        <f t="shared" ca="1" si="180"/>
        <v>2.7142941462655745</v>
      </c>
      <c r="W327" s="26">
        <f t="shared" ca="1" si="180"/>
        <v>3.0271655229550323</v>
      </c>
      <c r="X327" s="26">
        <f t="shared" ca="1" si="180"/>
        <v>3.3477250323334022</v>
      </c>
      <c r="Y327" s="26">
        <f t="shared" ca="1" si="180"/>
        <v>3.6744153321125372</v>
      </c>
      <c r="Z327" s="26">
        <f t="shared" ca="1" si="180"/>
        <v>4.0047830421286941</v>
      </c>
      <c r="AA327" s="26">
        <f t="shared" ca="1" si="180"/>
        <v>4.3374126844572087</v>
      </c>
      <c r="AB327" s="26">
        <f t="shared" ca="1" si="180"/>
        <v>4.6720241734504881</v>
      </c>
      <c r="AC327" s="26">
        <f t="shared" ca="1" si="180"/>
        <v>5.0096794815584529</v>
      </c>
    </row>
    <row r="328" spans="1:29" x14ac:dyDescent="0.2">
      <c r="A328" s="3" t="s">
        <v>413</v>
      </c>
      <c r="B328" s="4" t="str">
        <f>$B$46</f>
        <v>From Fiscal Forecasts</v>
      </c>
      <c r="F328" s="21">
        <f>'Fiscal Forecasts'!F$285</f>
        <v>0.36499999999999999</v>
      </c>
      <c r="G328" s="21">
        <f>'Fiscal Forecasts'!G$285</f>
        <v>-0.74299999999999999</v>
      </c>
      <c r="H328" s="21">
        <f>'Fiscal Forecasts'!H$285</f>
        <v>-0.66900000000000004</v>
      </c>
      <c r="I328" s="21">
        <f>'Fiscal Forecasts'!I$285</f>
        <v>0.78700000000000003</v>
      </c>
      <c r="J328" s="21">
        <f>'Fiscal Forecasts'!J$285</f>
        <v>1.0580000000000001</v>
      </c>
      <c r="K328" s="21">
        <f>'Fiscal Forecasts'!K$285</f>
        <v>0.93</v>
      </c>
      <c r="L328" s="21">
        <f>'Fiscal Forecasts'!L$285</f>
        <v>1.1919999999999999</v>
      </c>
      <c r="M328" s="21">
        <f>'Fiscal Forecasts'!M$285</f>
        <v>0.70199999999999996</v>
      </c>
      <c r="N328" s="21">
        <f>'Fiscal Forecasts'!N$285</f>
        <v>2.7519999999999998</v>
      </c>
      <c r="O328" s="24">
        <f>'Fiscal Forecasts'!O$285</f>
        <v>-0.02</v>
      </c>
      <c r="P328" s="24">
        <f>'Fiscal Forecasts'!P$285</f>
        <v>0.28799999999999998</v>
      </c>
      <c r="Q328" s="24">
        <f>'Fiscal Forecasts'!Q$285</f>
        <v>0.32200000000000001</v>
      </c>
      <c r="R328" s="24">
        <f>'Fiscal Forecasts'!R$285</f>
        <v>0.36699999999999999</v>
      </c>
      <c r="S328" s="24">
        <f>'Fiscal Forecasts'!S$285</f>
        <v>0.41099999999999998</v>
      </c>
      <c r="T328" s="26">
        <f>S$328*Tracks!T$33/Tracks!S$33</f>
        <v>0.42970516325656577</v>
      </c>
      <c r="U328" s="26">
        <f>T$328*Tracks!U$33/Tracks!T$33</f>
        <v>0.4509276676410911</v>
      </c>
      <c r="V328" s="26">
        <f>U$328*Tracks!V$33/Tracks!U$33</f>
        <v>0.47237549367589227</v>
      </c>
      <c r="W328" s="26">
        <f>V$328*Tracks!W$33/Tracks!V$33</f>
        <v>0.49447669375023978</v>
      </c>
      <c r="X328" s="26">
        <f>W$328*Tracks!X$33/Tracks!W$33</f>
        <v>0.51678530595685279</v>
      </c>
      <c r="Y328" s="26">
        <f>X$328*Tracks!Y$33/Tracks!X$33</f>
        <v>0.53974257853501262</v>
      </c>
      <c r="Z328" s="26">
        <f>Y$328*Tracks!Z$33/Tracks!Y$33</f>
        <v>0.56393400567002605</v>
      </c>
      <c r="AA328" s="26">
        <f>Z$328*Tracks!AA$33/Tracks!Z$33</f>
        <v>0.58887877473058348</v>
      </c>
      <c r="AB328" s="26">
        <f>AA$328*Tracks!AB$33/Tracks!AA$33</f>
        <v>0.61439336403554612</v>
      </c>
      <c r="AC328" s="26">
        <f>AB$328*Tracks!AC$33/Tracks!AB$33</f>
        <v>0.64069260570671005</v>
      </c>
    </row>
    <row r="329" spans="1:29" x14ac:dyDescent="0.2">
      <c r="A329" s="3" t="s">
        <v>414</v>
      </c>
      <c r="B329" s="4" t="str">
        <f>$B$46</f>
        <v>From Fiscal Forecasts</v>
      </c>
      <c r="F329" s="21">
        <f>'Fiscal Forecasts'!F$286</f>
        <v>6.3E-2</v>
      </c>
      <c r="G329" s="21">
        <f>'Fiscal Forecasts'!G$286</f>
        <v>-3.6999999999999998E-2</v>
      </c>
      <c r="H329" s="21">
        <f>'Fiscal Forecasts'!H$286</f>
        <v>-0.13800000000000001</v>
      </c>
      <c r="I329" s="21">
        <f>'Fiscal Forecasts'!I$286</f>
        <v>-0.105</v>
      </c>
      <c r="J329" s="21">
        <f>'Fiscal Forecasts'!J$286</f>
        <v>-0.28100000000000003</v>
      </c>
      <c r="K329" s="21">
        <f>'Fiscal Forecasts'!K$286</f>
        <v>8.9999999999999993E-3</v>
      </c>
      <c r="L329" s="21">
        <f>'Fiscal Forecasts'!L$286</f>
        <v>0.35399999999999998</v>
      </c>
      <c r="M329" s="21">
        <f>'Fiscal Forecasts'!M$286</f>
        <v>0.161</v>
      </c>
      <c r="N329" s="21">
        <f>'Fiscal Forecasts'!N$286</f>
        <v>-6.3E-2</v>
      </c>
      <c r="O329" s="24">
        <f>'Fiscal Forecasts'!O$286</f>
        <v>0.14299999999999999</v>
      </c>
      <c r="P329" s="24">
        <f>'Fiscal Forecasts'!P$286</f>
        <v>4.2999999999999997E-2</v>
      </c>
      <c r="Q329" s="24">
        <f>'Fiscal Forecasts'!Q$286</f>
        <v>2.8000000000000001E-2</v>
      </c>
      <c r="R329" s="24">
        <f>'Fiscal Forecasts'!R$286</f>
        <v>1.4999999999999999E-2</v>
      </c>
      <c r="S329" s="24">
        <f>'Fiscal Forecasts'!S$286</f>
        <v>1.0999999999999999E-2</v>
      </c>
      <c r="T329" s="26">
        <f t="shared" ref="T329:AC329" ca="1" si="181">S$329*T$11/S$11</f>
        <v>1.1488539176228812E-2</v>
      </c>
      <c r="U329" s="26">
        <f t="shared" ca="1" si="181"/>
        <v>1.1997832909443949E-2</v>
      </c>
      <c r="V329" s="26">
        <f t="shared" ca="1" si="181"/>
        <v>1.253642064455433E-2</v>
      </c>
      <c r="W329" s="26">
        <f t="shared" ca="1" si="181"/>
        <v>1.3095028985772061E-2</v>
      </c>
      <c r="X329" s="26">
        <f t="shared" ca="1" si="181"/>
        <v>1.3676675452976102E-2</v>
      </c>
      <c r="Y329" s="26">
        <f t="shared" ca="1" si="181"/>
        <v>1.4277127409254197E-2</v>
      </c>
      <c r="Z329" s="26">
        <f t="shared" ca="1" si="181"/>
        <v>1.4895162103311288E-2</v>
      </c>
      <c r="AA329" s="26">
        <f t="shared" ca="1" si="181"/>
        <v>1.5531214356116544E-2</v>
      </c>
      <c r="AB329" s="26">
        <f t="shared" ca="1" si="181"/>
        <v>1.618282803428912E-2</v>
      </c>
      <c r="AC329" s="26">
        <f t="shared" ca="1" si="181"/>
        <v>1.6853399161143791E-2</v>
      </c>
    </row>
    <row r="330" spans="1:29" x14ac:dyDescent="0.2">
      <c r="A330" s="3" t="s">
        <v>415</v>
      </c>
      <c r="B330" s="4" t="str">
        <f>$B$46</f>
        <v>From Fiscal Forecasts</v>
      </c>
      <c r="F330" s="21">
        <f>'Fiscal Forecasts'!F$287</f>
        <v>-4.2000000000000003E-2</v>
      </c>
      <c r="G330" s="21">
        <f>'Fiscal Forecasts'!G$287</f>
        <v>-0.19</v>
      </c>
      <c r="H330" s="21">
        <f>'Fiscal Forecasts'!H$287</f>
        <v>-0.21099999999999999</v>
      </c>
      <c r="I330" s="21">
        <f>'Fiscal Forecasts'!I$287</f>
        <v>-0.254</v>
      </c>
      <c r="J330" s="21">
        <f>'Fiscal Forecasts'!J$287</f>
        <v>-0.27400000000000002</v>
      </c>
      <c r="K330" s="21">
        <f>'Fiscal Forecasts'!K$287</f>
        <v>-0.77300000000000002</v>
      </c>
      <c r="L330" s="21">
        <f>'Fiscal Forecasts'!L$287</f>
        <v>0.64300000000000002</v>
      </c>
      <c r="M330" s="21">
        <f>'Fiscal Forecasts'!M$287</f>
        <v>-8.7999999999999995E-2</v>
      </c>
      <c r="N330" s="21">
        <f>'Fiscal Forecasts'!N$287</f>
        <v>-0.88200000000000001</v>
      </c>
      <c r="O330" s="24">
        <f>'Fiscal Forecasts'!O$287</f>
        <v>-0.19700000000000001</v>
      </c>
      <c r="P330" s="24">
        <f>'Fiscal Forecasts'!P$287</f>
        <v>-0.157</v>
      </c>
      <c r="Q330" s="24">
        <f>'Fiscal Forecasts'!Q$287</f>
        <v>-0.20300000000000001</v>
      </c>
      <c r="R330" s="24">
        <f>'Fiscal Forecasts'!R$287</f>
        <v>-0.218</v>
      </c>
      <c r="S330" s="24">
        <f>'Fiscal Forecasts'!S$287</f>
        <v>-0.22900000000000001</v>
      </c>
      <c r="T330" s="26">
        <f t="shared" ref="T330:AC330" ca="1" si="182">S$330*T$327/S$327</f>
        <v>-0.20919465576835972</v>
      </c>
      <c r="U330" s="26">
        <f t="shared" ca="1" si="182"/>
        <v>-0.22671911805016104</v>
      </c>
      <c r="V330" s="26">
        <f t="shared" ca="1" si="182"/>
        <v>-0.25073552218427458</v>
      </c>
      <c r="W330" s="26">
        <f t="shared" ca="1" si="182"/>
        <v>-0.27963731535163477</v>
      </c>
      <c r="X330" s="26">
        <f t="shared" ca="1" si="182"/>
        <v>-0.30924930714173027</v>
      </c>
      <c r="Y330" s="26">
        <f t="shared" ca="1" si="182"/>
        <v>-0.33942763656868546</v>
      </c>
      <c r="Z330" s="26">
        <f t="shared" ca="1" si="182"/>
        <v>-0.3699456702894196</v>
      </c>
      <c r="AA330" s="26">
        <f t="shared" ca="1" si="182"/>
        <v>-0.40067265217454662</v>
      </c>
      <c r="AB330" s="26">
        <f t="shared" ca="1" si="182"/>
        <v>-0.43158270904403473</v>
      </c>
      <c r="AC330" s="26">
        <f t="shared" ca="1" si="182"/>
        <v>-0.4627739416203655</v>
      </c>
    </row>
    <row r="331" spans="1:29" x14ac:dyDescent="0.2">
      <c r="A331" s="31" t="s">
        <v>585</v>
      </c>
      <c r="B331" s="4"/>
      <c r="F331" s="56">
        <f>SUM(F$327:F$330)</f>
        <v>1.5649999999999999</v>
      </c>
      <c r="G331" s="56">
        <f t="shared" ref="G331:AC331" si="183">SUM(G$327:G$330)</f>
        <v>-0.61699999999999999</v>
      </c>
      <c r="H331" s="56">
        <f t="shared" si="183"/>
        <v>-2.6339999999999999</v>
      </c>
      <c r="I331" s="56">
        <f t="shared" si="183"/>
        <v>2.5219999999999998</v>
      </c>
      <c r="J331" s="56">
        <f t="shared" si="183"/>
        <v>4.6189999999999998</v>
      </c>
      <c r="K331" s="56">
        <f t="shared" si="183"/>
        <v>0.69199999999999984</v>
      </c>
      <c r="L331" s="56">
        <f t="shared" si="183"/>
        <v>7.2700000000000005</v>
      </c>
      <c r="M331" s="56">
        <f t="shared" si="183"/>
        <v>4.8199999999999994</v>
      </c>
      <c r="N331" s="56">
        <f t="shared" si="183"/>
        <v>6.1960000000000006</v>
      </c>
      <c r="O331" s="57">
        <f t="shared" si="183"/>
        <v>0.57600000000000007</v>
      </c>
      <c r="P331" s="57">
        <f t="shared" si="183"/>
        <v>2.194</v>
      </c>
      <c r="Q331" s="57">
        <f t="shared" si="183"/>
        <v>2.2970000000000002</v>
      </c>
      <c r="R331" s="57">
        <f t="shared" si="183"/>
        <v>2.4780000000000002</v>
      </c>
      <c r="S331" s="57">
        <f t="shared" si="183"/>
        <v>2.6720000000000002</v>
      </c>
      <c r="T331" s="58">
        <f t="shared" ca="1" si="183"/>
        <v>2.4965997088904772</v>
      </c>
      <c r="U331" s="58">
        <f t="shared" ca="1" si="183"/>
        <v>2.6905150883796281</v>
      </c>
      <c r="V331" s="58">
        <f t="shared" ca="1" si="183"/>
        <v>2.9484705384017462</v>
      </c>
      <c r="W331" s="58">
        <f t="shared" ca="1" si="183"/>
        <v>3.255099930339409</v>
      </c>
      <c r="X331" s="58">
        <f t="shared" ca="1" si="183"/>
        <v>3.5689377066015009</v>
      </c>
      <c r="Y331" s="58">
        <f t="shared" ca="1" si="183"/>
        <v>3.8890074014881186</v>
      </c>
      <c r="Z331" s="58">
        <f t="shared" ca="1" si="183"/>
        <v>4.2136665396126114</v>
      </c>
      <c r="AA331" s="58">
        <f t="shared" ca="1" si="183"/>
        <v>4.5411500213693623</v>
      </c>
      <c r="AB331" s="58">
        <f t="shared" ca="1" si="183"/>
        <v>4.8710176564762886</v>
      </c>
      <c r="AC331" s="58">
        <f t="shared" ca="1" si="183"/>
        <v>5.2044515448059414</v>
      </c>
    </row>
    <row r="332" spans="1:29" x14ac:dyDescent="0.2">
      <c r="A332" s="31"/>
      <c r="B332" s="4"/>
      <c r="F332" s="62"/>
      <c r="G332" s="62"/>
      <c r="H332" s="62"/>
      <c r="I332" s="62"/>
      <c r="J332" s="62"/>
      <c r="K332" s="62"/>
      <c r="L332" s="62"/>
      <c r="M332" s="62"/>
      <c r="N332" s="62"/>
      <c r="O332" s="70"/>
      <c r="P332" s="70"/>
      <c r="Q332" s="70"/>
      <c r="R332" s="70"/>
      <c r="S332" s="70"/>
      <c r="T332" s="63"/>
      <c r="U332" s="63"/>
      <c r="V332" s="63"/>
      <c r="W332" s="63"/>
      <c r="X332" s="63"/>
      <c r="Y332" s="63"/>
      <c r="Z332" s="63"/>
      <c r="AA332" s="63"/>
      <c r="AB332" s="63"/>
      <c r="AC332" s="63"/>
    </row>
    <row r="333" spans="1:29" x14ac:dyDescent="0.2">
      <c r="A333" s="31" t="s">
        <v>586</v>
      </c>
      <c r="B333" s="4"/>
      <c r="F333" s="62"/>
      <c r="G333" s="62"/>
      <c r="H333" s="62"/>
      <c r="I333" s="62"/>
      <c r="J333" s="62"/>
      <c r="K333" s="62"/>
      <c r="L333" s="62"/>
      <c r="M333" s="62"/>
      <c r="N333" s="62"/>
      <c r="O333" s="70"/>
      <c r="P333" s="70"/>
      <c r="Q333" s="70"/>
      <c r="R333" s="70"/>
      <c r="S333" s="70"/>
      <c r="T333" s="63"/>
      <c r="U333" s="63"/>
      <c r="V333" s="63"/>
      <c r="W333" s="63"/>
      <c r="X333" s="63"/>
      <c r="Y333" s="63"/>
      <c r="Z333" s="63"/>
      <c r="AA333" s="63"/>
      <c r="AB333" s="63"/>
      <c r="AC333" s="63"/>
    </row>
    <row r="334" spans="1:29" x14ac:dyDescent="0.2">
      <c r="A334" s="3" t="s">
        <v>587</v>
      </c>
      <c r="B334" s="4" t="str">
        <f>$B$46</f>
        <v>From Fiscal Forecasts</v>
      </c>
      <c r="F334" s="21">
        <f>'Fiscal Forecasts'!F$290</f>
        <v>1.133</v>
      </c>
      <c r="G334" s="21">
        <f>'Fiscal Forecasts'!G$290</f>
        <v>-1.0980000000000001</v>
      </c>
      <c r="H334" s="21">
        <f>'Fiscal Forecasts'!H$290</f>
        <v>-0.69499999999999995</v>
      </c>
      <c r="I334" s="21">
        <f>'Fiscal Forecasts'!I$290</f>
        <v>-1.2310000000000001</v>
      </c>
      <c r="J334" s="21">
        <f>'Fiscal Forecasts'!J$290</f>
        <v>-0.57399999999999995</v>
      </c>
      <c r="K334" s="21">
        <f>'Fiscal Forecasts'!K$290</f>
        <v>-3.8959999999999999</v>
      </c>
      <c r="L334" s="21">
        <f>'Fiscal Forecasts'!L$290</f>
        <v>1.2509999999999999</v>
      </c>
      <c r="M334" s="21">
        <f>'Fiscal Forecasts'!M$290</f>
        <v>0.57699999999999996</v>
      </c>
      <c r="N334" s="21">
        <f>'Fiscal Forecasts'!N$290</f>
        <v>-0.32200000000000001</v>
      </c>
      <c r="O334" s="24">
        <f>'Fiscal Forecasts'!O$290</f>
        <v>-0.37</v>
      </c>
      <c r="P334" s="24">
        <f>'Fiscal Forecasts'!P$290</f>
        <v>0</v>
      </c>
      <c r="Q334" s="24">
        <f>'Fiscal Forecasts'!Q$290</f>
        <v>0</v>
      </c>
      <c r="R334" s="24">
        <f>'Fiscal Forecasts'!R$290</f>
        <v>0</v>
      </c>
      <c r="S334" s="24">
        <f>'Fiscal Forecasts'!S$290</f>
        <v>0</v>
      </c>
      <c r="T334" s="26">
        <f>S$334*Tracks!T$43/Tracks!S$43</f>
        <v>0</v>
      </c>
      <c r="U334" s="26">
        <f>T$334*Tracks!U$43/Tracks!T$43</f>
        <v>0</v>
      </c>
      <c r="V334" s="26">
        <f>U$334*Tracks!V$43/Tracks!U$43</f>
        <v>0</v>
      </c>
      <c r="W334" s="26">
        <f>V$334*Tracks!W$43/Tracks!V$43</f>
        <v>0</v>
      </c>
      <c r="X334" s="26">
        <f>W$334*Tracks!X$43/Tracks!W$43</f>
        <v>0</v>
      </c>
      <c r="Y334" s="26">
        <f>X$334*Tracks!Y$43/Tracks!X$43</f>
        <v>0</v>
      </c>
      <c r="Z334" s="26">
        <f>Y$334*Tracks!Z$43/Tracks!Y$43</f>
        <v>0</v>
      </c>
      <c r="AA334" s="26">
        <f>Z$334*Tracks!AA$43/Tracks!Z$43</f>
        <v>0</v>
      </c>
      <c r="AB334" s="26">
        <f>AA$334*Tracks!AB$43/Tracks!AA$43</f>
        <v>0</v>
      </c>
      <c r="AC334" s="26">
        <f>AB$334*Tracks!AC$43/Tracks!AB$43</f>
        <v>0</v>
      </c>
    </row>
    <row r="335" spans="1:29" x14ac:dyDescent="0.2">
      <c r="A335" s="3" t="s">
        <v>591</v>
      </c>
      <c r="B335" s="4" t="str">
        <f>$B$46</f>
        <v>From Fiscal Forecasts</v>
      </c>
      <c r="F335" s="21">
        <f>'Fiscal Forecasts'!F$291</f>
        <v>-0.48099999999999998</v>
      </c>
      <c r="G335" s="21">
        <f>'Fiscal Forecasts'!G$291</f>
        <v>-1.7090000000000001</v>
      </c>
      <c r="H335" s="21">
        <f>'Fiscal Forecasts'!H$291</f>
        <v>-4.4909999999999997</v>
      </c>
      <c r="I335" s="21">
        <f>'Fiscal Forecasts'!I$291</f>
        <v>0.41</v>
      </c>
      <c r="J335" s="21">
        <f>'Fiscal Forecasts'!J$291</f>
        <v>0.996</v>
      </c>
      <c r="K335" s="21">
        <f>'Fiscal Forecasts'!K$291</f>
        <v>-2.9420000000000002</v>
      </c>
      <c r="L335" s="21">
        <f>'Fiscal Forecasts'!L$291</f>
        <v>2.3690000000000002</v>
      </c>
      <c r="M335" s="21">
        <f>'Fiscal Forecasts'!M$291</f>
        <v>0.47899999999999998</v>
      </c>
      <c r="N335" s="21">
        <f>'Fiscal Forecasts'!N$291</f>
        <v>-1.3520000000000001</v>
      </c>
      <c r="O335" s="24">
        <f>'Fiscal Forecasts'!O$291</f>
        <v>0.28799999999999998</v>
      </c>
      <c r="P335" s="24">
        <f>'Fiscal Forecasts'!P$291</f>
        <v>0</v>
      </c>
      <c r="Q335" s="24">
        <f>'Fiscal Forecasts'!Q$291</f>
        <v>0</v>
      </c>
      <c r="R335" s="24">
        <f>'Fiscal Forecasts'!R$291</f>
        <v>0</v>
      </c>
      <c r="S335" s="24">
        <f>'Fiscal Forecasts'!S$291</f>
        <v>0</v>
      </c>
      <c r="T335" s="26">
        <f>S$335*(Tracks!T$34-Tracks!T$35)/(Tracks!S$34-Tracks!S$35)</f>
        <v>0</v>
      </c>
      <c r="U335" s="26">
        <f>T$335*(Tracks!U$34-Tracks!U$35)/(Tracks!T$34-Tracks!T$35)</f>
        <v>0</v>
      </c>
      <c r="V335" s="26">
        <f>U$335*(Tracks!V$34-Tracks!V$35)/(Tracks!U$34-Tracks!U$35)</f>
        <v>0</v>
      </c>
      <c r="W335" s="26">
        <f>V$335*(Tracks!W$34-Tracks!W$35)/(Tracks!V$34-Tracks!V$35)</f>
        <v>0</v>
      </c>
      <c r="X335" s="26">
        <f>W$335*(Tracks!X$34-Tracks!X$35)/(Tracks!W$34-Tracks!W$35)</f>
        <v>0</v>
      </c>
      <c r="Y335" s="26">
        <f>X$335*(Tracks!Y$34-Tracks!Y$35)/(Tracks!X$34-Tracks!X$35)</f>
        <v>0</v>
      </c>
      <c r="Z335" s="26">
        <f>Y$335*(Tracks!Z$34-Tracks!Z$35)/(Tracks!Y$34-Tracks!Y$35)</f>
        <v>0</v>
      </c>
      <c r="AA335" s="26">
        <f>Z$335*(Tracks!AA$34-Tracks!AA$35)/(Tracks!Z$34-Tracks!Z$35)</f>
        <v>0</v>
      </c>
      <c r="AB335" s="26">
        <f>AA$335*(Tracks!AB$34-Tracks!AB$35)/(Tracks!AA$34-Tracks!AA$35)</f>
        <v>0</v>
      </c>
      <c r="AC335" s="26">
        <f>AB$335*(Tracks!AC$34-Tracks!AC$35)/(Tracks!AB$34-Tracks!AB$35)</f>
        <v>0</v>
      </c>
    </row>
    <row r="336" spans="1:29" x14ac:dyDescent="0.2">
      <c r="A336" s="3" t="s">
        <v>847</v>
      </c>
      <c r="B336" s="4" t="str">
        <f>$B$46</f>
        <v>From Fiscal Forecasts</v>
      </c>
      <c r="F336" s="21">
        <f>'Fiscal Forecasts'!F$292</f>
        <v>-0.16600000000000001</v>
      </c>
      <c r="G336" s="21">
        <f>'Fiscal Forecasts'!G$292</f>
        <v>-0.11799999999999999</v>
      </c>
      <c r="H336" s="21">
        <f>'Fiscal Forecasts'!H$292</f>
        <v>1.0209999999999999</v>
      </c>
      <c r="I336" s="21">
        <f>'Fiscal Forecasts'!I$292</f>
        <v>-0.13900000000000001</v>
      </c>
      <c r="J336" s="21">
        <f>'Fiscal Forecasts'!J$292</f>
        <v>-0.34300000000000003</v>
      </c>
      <c r="K336" s="21">
        <f>'Fiscal Forecasts'!K$292</f>
        <v>0.312</v>
      </c>
      <c r="L336" s="21">
        <f>'Fiscal Forecasts'!L$292</f>
        <v>8.5999999999999993E-2</v>
      </c>
      <c r="M336" s="21">
        <f>'Fiscal Forecasts'!M$292</f>
        <v>-0.51600000000000001</v>
      </c>
      <c r="N336" s="21">
        <f>'Fiscal Forecasts'!N$292</f>
        <v>2.5000000000000001E-2</v>
      </c>
      <c r="O336" s="24">
        <f>'Fiscal Forecasts'!O$292</f>
        <v>-1.9E-2</v>
      </c>
      <c r="P336" s="24">
        <f>'Fiscal Forecasts'!P$292</f>
        <v>-9.2999999999999999E-2</v>
      </c>
      <c r="Q336" s="24">
        <f>'Fiscal Forecasts'!Q$292</f>
        <v>-0.12</v>
      </c>
      <c r="R336" s="24">
        <f>'Fiscal Forecasts'!R$292</f>
        <v>-6.4000000000000001E-2</v>
      </c>
      <c r="S336" s="24">
        <f>'Fiscal Forecasts'!S$292</f>
        <v>-0.10199999999999999</v>
      </c>
      <c r="T336" s="26">
        <f ca="1">IF(T$4=OFFSET(Choices!$B$10,0,$C$1),0,S$336*T$29/S$29)</f>
        <v>0</v>
      </c>
      <c r="U336" s="26">
        <f ca="1">IF(U$4=OFFSET(Choices!$B$10,0,$C$1),0,T$336*U$29/T$29)</f>
        <v>0</v>
      </c>
      <c r="V336" s="26">
        <f ca="1">IF(V$4=OFFSET(Choices!$B$10,0,$C$1),0,U$336*V$29/U$29)</f>
        <v>0</v>
      </c>
      <c r="W336" s="26">
        <f ca="1">IF(W$4=OFFSET(Choices!$B$10,0,$C$1),0,V$336*W$29/V$29)</f>
        <v>0</v>
      </c>
      <c r="X336" s="26">
        <f ca="1">IF(X$4=OFFSET(Choices!$B$10,0,$C$1),0,W$336*X$29/W$29)</f>
        <v>0</v>
      </c>
      <c r="Y336" s="26">
        <f ca="1">IF(Y$4=OFFSET(Choices!$B$10,0,$C$1),0,X$336*Y$29/X$29)</f>
        <v>0</v>
      </c>
      <c r="Z336" s="26">
        <f ca="1">IF(Z$4=OFFSET(Choices!$B$10,0,$C$1),0,Y$336*Z$29/Y$29)</f>
        <v>0</v>
      </c>
      <c r="AA336" s="26">
        <f ca="1">IF(AA$4=OFFSET(Choices!$B$10,0,$C$1),0,Z$336*AA$29/Z$29)</f>
        <v>0</v>
      </c>
      <c r="AB336" s="26">
        <f ca="1">IF(AB$4=OFFSET(Choices!$B$10,0,$C$1),0,AA$336*AB$29/AA$29)</f>
        <v>0</v>
      </c>
      <c r="AC336" s="26">
        <f ca="1">IF(AC$4=OFFSET(Choices!$B$10,0,$C$1),0,AB$336*AC$29/AB$29)</f>
        <v>0</v>
      </c>
    </row>
    <row r="337" spans="1:29" x14ac:dyDescent="0.2">
      <c r="A337" s="31" t="s">
        <v>594</v>
      </c>
      <c r="B337" s="4"/>
      <c r="F337" s="56">
        <f>SUM(F$334:F$336)</f>
        <v>0.48599999999999999</v>
      </c>
      <c r="G337" s="56">
        <f t="shared" ref="G337:M337" si="184">SUM(G$334:G$336)</f>
        <v>-2.9250000000000003</v>
      </c>
      <c r="H337" s="56">
        <f t="shared" si="184"/>
        <v>-4.165</v>
      </c>
      <c r="I337" s="56">
        <f t="shared" si="184"/>
        <v>-0.96000000000000019</v>
      </c>
      <c r="J337" s="56">
        <f t="shared" si="184"/>
        <v>7.9000000000000015E-2</v>
      </c>
      <c r="K337" s="56">
        <f t="shared" si="184"/>
        <v>-6.5259999999999998</v>
      </c>
      <c r="L337" s="56">
        <f t="shared" si="184"/>
        <v>3.706</v>
      </c>
      <c r="M337" s="56">
        <f t="shared" si="184"/>
        <v>0.54</v>
      </c>
      <c r="N337" s="56">
        <f>SUM(N$334:N$336)</f>
        <v>-1.6490000000000002</v>
      </c>
      <c r="O337" s="57">
        <f t="shared" ref="O337:AC337" si="185">SUM(O$334:O$336)</f>
        <v>-0.10100000000000002</v>
      </c>
      <c r="P337" s="57">
        <f t="shared" si="185"/>
        <v>-9.2999999999999999E-2</v>
      </c>
      <c r="Q337" s="57">
        <f t="shared" si="185"/>
        <v>-0.12</v>
      </c>
      <c r="R337" s="57">
        <f t="shared" si="185"/>
        <v>-6.4000000000000001E-2</v>
      </c>
      <c r="S337" s="57">
        <f t="shared" si="185"/>
        <v>-0.10199999999999999</v>
      </c>
      <c r="T337" s="58">
        <f t="shared" ca="1" si="185"/>
        <v>0</v>
      </c>
      <c r="U337" s="58">
        <f t="shared" ca="1" si="185"/>
        <v>0</v>
      </c>
      <c r="V337" s="58">
        <f t="shared" ca="1" si="185"/>
        <v>0</v>
      </c>
      <c r="W337" s="58">
        <f t="shared" ca="1" si="185"/>
        <v>0</v>
      </c>
      <c r="X337" s="58">
        <f t="shared" ca="1" si="185"/>
        <v>0</v>
      </c>
      <c r="Y337" s="58">
        <f t="shared" ca="1" si="185"/>
        <v>0</v>
      </c>
      <c r="Z337" s="58">
        <f t="shared" ca="1" si="185"/>
        <v>0</v>
      </c>
      <c r="AA337" s="58">
        <f t="shared" ca="1" si="185"/>
        <v>0</v>
      </c>
      <c r="AB337" s="58">
        <f t="shared" ca="1" si="185"/>
        <v>0</v>
      </c>
      <c r="AC337" s="58">
        <f t="shared" ca="1" si="185"/>
        <v>0</v>
      </c>
    </row>
    <row r="338" spans="1:29" x14ac:dyDescent="0.2">
      <c r="A338" s="3" t="s">
        <v>786</v>
      </c>
      <c r="B338" s="4" t="str">
        <f>$B$46</f>
        <v>From Fiscal Forecasts</v>
      </c>
      <c r="F338" s="21">
        <f>'Fiscal Forecasts'!F$294</f>
        <v>1.163</v>
      </c>
      <c r="G338" s="21">
        <f>'Fiscal Forecasts'!G$294</f>
        <v>-1.369</v>
      </c>
      <c r="H338" s="21">
        <f>'Fiscal Forecasts'!H$294</f>
        <v>0.123</v>
      </c>
      <c r="I338" s="21">
        <f>'Fiscal Forecasts'!I$294</f>
        <v>-1.351</v>
      </c>
      <c r="J338" s="21">
        <f>'Fiscal Forecasts'!J$294</f>
        <v>-0.58799999999999997</v>
      </c>
      <c r="K338" s="21">
        <f>'Fiscal Forecasts'!K$294</f>
        <v>-3.79</v>
      </c>
      <c r="L338" s="21">
        <f>'Fiscal Forecasts'!L$294</f>
        <v>1.298</v>
      </c>
      <c r="M338" s="21">
        <f>'Fiscal Forecasts'!M$294</f>
        <v>0.22</v>
      </c>
      <c r="N338" s="21">
        <f>'Fiscal Forecasts'!N$294</f>
        <v>-0.71899999999999997</v>
      </c>
      <c r="O338" s="24">
        <f>'Fiscal Forecasts'!O$294</f>
        <v>-0.35899999999999999</v>
      </c>
      <c r="P338" s="24">
        <f>'Fiscal Forecasts'!P$294</f>
        <v>1E-3</v>
      </c>
      <c r="Q338" s="24">
        <f>'Fiscal Forecasts'!Q$294</f>
        <v>1E-3</v>
      </c>
      <c r="R338" s="24">
        <f>'Fiscal Forecasts'!R$294</f>
        <v>1E-3</v>
      </c>
      <c r="S338" s="24">
        <f>'Fiscal Forecasts'!S$294</f>
        <v>1E-3</v>
      </c>
      <c r="T338" s="26">
        <f t="shared" ref="T338:AC338" si="186">T$334</f>
        <v>0</v>
      </c>
      <c r="U338" s="26">
        <f t="shared" si="186"/>
        <v>0</v>
      </c>
      <c r="V338" s="26">
        <f t="shared" si="186"/>
        <v>0</v>
      </c>
      <c r="W338" s="26">
        <f t="shared" si="186"/>
        <v>0</v>
      </c>
      <c r="X338" s="26">
        <f t="shared" si="186"/>
        <v>0</v>
      </c>
      <c r="Y338" s="26">
        <f t="shared" si="186"/>
        <v>0</v>
      </c>
      <c r="Z338" s="26">
        <f t="shared" si="186"/>
        <v>0</v>
      </c>
      <c r="AA338" s="26">
        <f t="shared" si="186"/>
        <v>0</v>
      </c>
      <c r="AB338" s="26">
        <f t="shared" si="186"/>
        <v>0</v>
      </c>
      <c r="AC338" s="26">
        <f t="shared" si="186"/>
        <v>0</v>
      </c>
    </row>
    <row r="339" spans="1:29" x14ac:dyDescent="0.2">
      <c r="A339" s="31"/>
      <c r="B339" s="4"/>
      <c r="F339" s="21"/>
      <c r="G339" s="21"/>
      <c r="H339" s="21"/>
      <c r="I339" s="21"/>
      <c r="J339" s="21"/>
      <c r="K339" s="21"/>
      <c r="L339" s="21"/>
      <c r="M339" s="21"/>
      <c r="N339" s="21"/>
      <c r="O339" s="24"/>
      <c r="P339" s="24"/>
      <c r="Q339" s="24"/>
      <c r="R339" s="24"/>
      <c r="S339" s="24"/>
      <c r="T339" s="24"/>
      <c r="U339" s="24"/>
      <c r="V339" s="24"/>
      <c r="W339" s="24"/>
      <c r="X339" s="24"/>
      <c r="Y339" s="24"/>
      <c r="Z339" s="24"/>
      <c r="AA339" s="24"/>
      <c r="AB339" s="24"/>
      <c r="AC339" s="24"/>
    </row>
    <row r="340" spans="1:29" x14ac:dyDescent="0.2">
      <c r="A340" s="31" t="s">
        <v>597</v>
      </c>
      <c r="B340" s="4" t="str">
        <f>$B$46</f>
        <v>From Fiscal Forecasts</v>
      </c>
      <c r="F340" s="23">
        <f>'Fiscal Forecasts'!F$180</f>
        <v>-3.9E-2</v>
      </c>
      <c r="G340" s="23">
        <f>'Fiscal Forecasts'!G$180</f>
        <v>8.3000000000000004E-2</v>
      </c>
      <c r="H340" s="23">
        <f>'Fiscal Forecasts'!H$180</f>
        <v>0.152</v>
      </c>
      <c r="I340" s="23">
        <f>'Fiscal Forecasts'!I$180</f>
        <v>5.5E-2</v>
      </c>
      <c r="J340" s="23">
        <f>'Fiscal Forecasts'!J$180</f>
        <v>0.10299999999999999</v>
      </c>
      <c r="K340" s="23">
        <f>'Fiscal Forecasts'!K$180</f>
        <v>0.104</v>
      </c>
      <c r="L340" s="23">
        <f>'Fiscal Forecasts'!L$180</f>
        <v>0.153</v>
      </c>
      <c r="M340" s="23">
        <f>'Fiscal Forecasts'!M$180</f>
        <v>0.108</v>
      </c>
      <c r="N340" s="23">
        <f>'Fiscal Forecasts'!N$180</f>
        <v>0.35899999999999999</v>
      </c>
      <c r="O340" s="25">
        <f>'Fiscal Forecasts'!O$180</f>
        <v>7.9000000000000001E-2</v>
      </c>
      <c r="P340" s="25">
        <f>'Fiscal Forecasts'!P$180</f>
        <v>9.1999999999999998E-2</v>
      </c>
      <c r="Q340" s="25">
        <f>'Fiscal Forecasts'!Q$180</f>
        <v>9.4E-2</v>
      </c>
      <c r="R340" s="25">
        <f>'Fiscal Forecasts'!R$180</f>
        <v>0.09</v>
      </c>
      <c r="S340" s="25">
        <f>'Fiscal Forecasts'!S$180</f>
        <v>9.2999999999999999E-2</v>
      </c>
      <c r="T340" s="26">
        <f t="shared" ref="T340:AC340" ca="1" si="187">S$340*T$11/S$11</f>
        <v>9.7130376671752686E-2</v>
      </c>
      <c r="U340" s="26">
        <f t="shared" ca="1" si="187"/>
        <v>0.10143622368893522</v>
      </c>
      <c r="V340" s="26">
        <f t="shared" ca="1" si="187"/>
        <v>0.10598973817668661</v>
      </c>
      <c r="W340" s="26">
        <f t="shared" ca="1" si="187"/>
        <v>0.11071251778880013</v>
      </c>
      <c r="X340" s="26">
        <f t="shared" ca="1" si="187"/>
        <v>0.11563007428425247</v>
      </c>
      <c r="Y340" s="26">
        <f t="shared" ca="1" si="187"/>
        <v>0.12070662264187636</v>
      </c>
      <c r="Z340" s="26">
        <f t="shared" ca="1" si="187"/>
        <v>0.12593182505526812</v>
      </c>
      <c r="AA340" s="26">
        <f t="shared" ca="1" si="187"/>
        <v>0.13130935773807617</v>
      </c>
      <c r="AB340" s="26">
        <f t="shared" ca="1" si="187"/>
        <v>0.13681845519898977</v>
      </c>
      <c r="AC340" s="26">
        <f t="shared" ca="1" si="187"/>
        <v>0.14248782927148837</v>
      </c>
    </row>
    <row r="341" spans="1:29" x14ac:dyDescent="0.2">
      <c r="A341" s="31" t="s">
        <v>598</v>
      </c>
      <c r="B341" s="4" t="str">
        <f>$B$46</f>
        <v>From Fiscal Forecasts</v>
      </c>
      <c r="F341" s="23">
        <f>'Fiscal Forecasts'!F$30</f>
        <v>9.9000000000000005E-2</v>
      </c>
      <c r="G341" s="23">
        <f>'Fiscal Forecasts'!G$30</f>
        <v>0.35600000000000004</v>
      </c>
      <c r="H341" s="23">
        <f>'Fiscal Forecasts'!H$30</f>
        <v>0.21199999999999999</v>
      </c>
      <c r="I341" s="23">
        <f>'Fiscal Forecasts'!I$30</f>
        <v>0.22700000000000001</v>
      </c>
      <c r="J341" s="23">
        <f>'Fiscal Forecasts'!J$30</f>
        <v>0.23699999999999999</v>
      </c>
      <c r="K341" s="23">
        <f>'Fiscal Forecasts'!K$30</f>
        <v>0.23300000000000001</v>
      </c>
      <c r="L341" s="23">
        <f>'Fiscal Forecasts'!L$30</f>
        <v>0.39500000000000002</v>
      </c>
      <c r="M341" s="23">
        <f>'Fiscal Forecasts'!M$30</f>
        <v>0.36</v>
      </c>
      <c r="N341" s="23">
        <f>'Fiscal Forecasts'!N$30</f>
        <v>1.028</v>
      </c>
      <c r="O341" s="25">
        <f>'Fiscal Forecasts'!O$30</f>
        <v>0.26600000000000001</v>
      </c>
      <c r="P341" s="25">
        <f>'Fiscal Forecasts'!P$30</f>
        <v>0.27900000000000003</v>
      </c>
      <c r="Q341" s="25">
        <f>'Fiscal Forecasts'!Q$30</f>
        <v>0.27900000000000003</v>
      </c>
      <c r="R341" s="25">
        <f>'Fiscal Forecasts'!R$30</f>
        <v>0.28100000000000003</v>
      </c>
      <c r="S341" s="25">
        <f>'Fiscal Forecasts'!S$30</f>
        <v>0.28299999999999997</v>
      </c>
      <c r="T341" s="26">
        <f t="shared" ref="T341:AC341" ca="1" si="188">S$341*T$11/S$11</f>
        <v>0.2955687806247958</v>
      </c>
      <c r="U341" s="26">
        <f t="shared" ca="1" si="188"/>
        <v>0.30867151939751253</v>
      </c>
      <c r="V341" s="26">
        <f t="shared" ca="1" si="188"/>
        <v>0.32252791294626137</v>
      </c>
      <c r="W341" s="26">
        <f t="shared" ca="1" si="188"/>
        <v>0.33689938208849934</v>
      </c>
      <c r="X341" s="26">
        <f t="shared" ca="1" si="188"/>
        <v>0.35186355938111236</v>
      </c>
      <c r="Y341" s="26">
        <f t="shared" ca="1" si="188"/>
        <v>0.36731155061990328</v>
      </c>
      <c r="Z341" s="26">
        <f t="shared" ca="1" si="188"/>
        <v>0.38321189774882664</v>
      </c>
      <c r="AA341" s="26">
        <f t="shared" ca="1" si="188"/>
        <v>0.39957578752554368</v>
      </c>
      <c r="AB341" s="26">
        <f t="shared" ca="1" si="188"/>
        <v>0.41634003033671085</v>
      </c>
      <c r="AC341" s="26">
        <f t="shared" ca="1" si="188"/>
        <v>0.43359199660033554</v>
      </c>
    </row>
    <row r="342" spans="1:29" x14ac:dyDescent="0.2">
      <c r="A342" s="31"/>
      <c r="B342" s="4"/>
    </row>
    <row r="343" spans="1:29" x14ac:dyDescent="0.2">
      <c r="A343" s="3" t="s">
        <v>820</v>
      </c>
      <c r="B343" s="4" t="str">
        <f>$B$46</f>
        <v>From Fiscal Forecasts</v>
      </c>
      <c r="F343" s="71">
        <f>'Fiscal Forecasts'!F$182/3</f>
        <v>0.3726666666666667</v>
      </c>
      <c r="G343" s="21">
        <f>'Fiscal Forecasts'!G$182-G$344</f>
        <v>0.37566666666666659</v>
      </c>
      <c r="H343" s="21">
        <f>'Fiscal Forecasts'!H$182-H$344</f>
        <v>1.1176666666666666</v>
      </c>
      <c r="I343" s="21">
        <f>'Fiscal Forecasts'!I$182-I$344</f>
        <v>1.8986666666666663</v>
      </c>
      <c r="J343" s="21">
        <f>'Fiscal Forecasts'!J$182-J$344</f>
        <v>2.1516666666666664</v>
      </c>
      <c r="K343" s="21">
        <f>'Fiscal Forecasts'!K$182-K$344</f>
        <v>2.5296666666666665</v>
      </c>
      <c r="L343" s="21">
        <f>'Fiscal Forecasts'!L$182-L$344</f>
        <v>5.5096666666666669</v>
      </c>
      <c r="M343" s="21">
        <f>'Fiscal Forecasts'!M$182-M$344</f>
        <v>3.0406666666666666</v>
      </c>
      <c r="N343" s="21">
        <f>'Fiscal Forecasts'!N$182-N$344</f>
        <v>1.4646666666666661</v>
      </c>
      <c r="O343" s="24">
        <f>'Fiscal Forecasts'!O$182-O$344</f>
        <v>2.9046666666666656</v>
      </c>
      <c r="P343" s="24">
        <f>'Fiscal Forecasts'!P$182-P$344</f>
        <v>3.0086666666666666</v>
      </c>
      <c r="Q343" s="24">
        <f>'Fiscal Forecasts'!Q$182-Q$344</f>
        <v>3.6406666666666663</v>
      </c>
      <c r="R343" s="24">
        <f>'Fiscal Forecasts'!R$182-R$344</f>
        <v>4.3066666666666666</v>
      </c>
      <c r="S343" s="24">
        <f>'Fiscal Forecasts'!S$182-S$344</f>
        <v>5.0156666666666672</v>
      </c>
      <c r="T343" s="26">
        <f ca="1">IF(T$4=OFFSET(Choices!$B$10,0,$C$1),AVERAGE(Q$343/Q$368,R$343/R$368,S$343/S$368),S$343/S$368)*T$368</f>
        <v>4.8465820090012439</v>
      </c>
      <c r="U343" s="26">
        <f ca="1">IF(U$4=OFFSET(Choices!$B$10,0,$C$1),AVERAGE(R$343/R$368,S$343/S$368,T$343/T$368),T$343/T$368)*U$368</f>
        <v>5.1301118925178573</v>
      </c>
      <c r="V343" s="26">
        <f ca="1">IF(V$4=OFFSET(Choices!$B$10,0,$C$1),AVERAGE(S$343/S$368,T$343/T$368,U$343/U$368),U$343/U$368)*V$368</f>
        <v>5.7650689484034405</v>
      </c>
      <c r="W343" s="26">
        <f ca="1">IF(W$4=OFFSET(Choices!$B$10,0,$C$1),AVERAGE(T$343/T$368,U$343/U$368,V$343/V$368),V$343/V$368)*W$368</f>
        <v>6.416214345519613</v>
      </c>
      <c r="X343" s="26">
        <f ca="1">IF(X$4=OFFSET(Choices!$B$10,0,$C$1),AVERAGE(U$343/U$368,V$343/V$368,W$343/W$368),W$343/W$368)*X$368</f>
        <v>7.0823518630692686</v>
      </c>
      <c r="Y343" s="26">
        <f ca="1">IF(Y$4=OFFSET(Choices!$B$10,0,$C$1),AVERAGE(V$343/V$368,W$343/W$368,X$343/X$368),X$343/X$368)*Y$368</f>
        <v>7.7581350081040208</v>
      </c>
      <c r="Z343" s="26">
        <f ca="1">IF(Z$4=OFFSET(Choices!$B$10,0,$C$1),AVERAGE(W$343/W$368,X$343/X$368,Y$343/Y$368),Y$343/Y$368)*Z$368</f>
        <v>8.4387389539014919</v>
      </c>
      <c r="AA343" s="26">
        <f ca="1">IF(AA$4=OFFSET(Choices!$B$10,0,$C$1),AVERAGE(X$343/X$368,Y$343/Y$368,Z$343/Z$368),Z$343/Z$368)*AA$368</f>
        <v>9.1232508328569129</v>
      </c>
      <c r="AB343" s="26">
        <f ca="1">IF(AB$4=OFFSET(Choices!$B$10,0,$C$1),AVERAGE(Y$343/Y$368,Z$343/Z$368,AA$343/AA$368),AA$343/AA$368)*AB$368</f>
        <v>9.8115432692983067</v>
      </c>
      <c r="AC343" s="26">
        <f ca="1">IF(AC$4=OFFSET(Choices!$B$10,0,$C$1),AVERAGE(Z$343/Z$368,AA$343/AA$368,AB$343/AB$368),AB$343/AB$368)*AC$368</f>
        <v>10.508280237711244</v>
      </c>
    </row>
    <row r="344" spans="1:29" x14ac:dyDescent="0.2">
      <c r="A344" s="3" t="s">
        <v>747</v>
      </c>
      <c r="B344" s="4"/>
      <c r="F344" s="71">
        <f>2*F$343</f>
        <v>0.7453333333333334</v>
      </c>
      <c r="G344" s="21">
        <f t="shared" ref="G344:S344" si="189">F$344-G$473</f>
        <v>0.4963333333333334</v>
      </c>
      <c r="H344" s="21">
        <f t="shared" si="189"/>
        <v>2.2573333333333334</v>
      </c>
      <c r="I344" s="21">
        <f t="shared" si="189"/>
        <v>3.0743333333333336</v>
      </c>
      <c r="J344" s="21">
        <f t="shared" si="189"/>
        <v>3.9353333333333333</v>
      </c>
      <c r="K344" s="21">
        <f t="shared" si="189"/>
        <v>4.2263333333333337</v>
      </c>
      <c r="L344" s="21">
        <f t="shared" si="189"/>
        <v>5.5373333333333337</v>
      </c>
      <c r="M344" s="21">
        <f t="shared" si="189"/>
        <v>5.1863333333333337</v>
      </c>
      <c r="N344" s="21">
        <f t="shared" si="189"/>
        <v>7.5673333333333339</v>
      </c>
      <c r="O344" s="24">
        <f t="shared" si="189"/>
        <v>7.6243333333333343</v>
      </c>
      <c r="P344" s="24">
        <f t="shared" si="189"/>
        <v>7.6283333333333339</v>
      </c>
      <c r="Q344" s="24">
        <f t="shared" si="189"/>
        <v>7.6323333333333334</v>
      </c>
      <c r="R344" s="24">
        <f t="shared" si="189"/>
        <v>7.6383333333333336</v>
      </c>
      <c r="S344" s="24">
        <f t="shared" si="189"/>
        <v>7.6433333333333335</v>
      </c>
      <c r="T344" s="26">
        <f ca="1">(S$344/S$11+IF(T$1&gt;0,T$1*IF(T$4=OFFSET(Choices!$B$10,0,$C$1),SUMPRODUCT(OFFSET(S$344,0,0,1,-OFFSET(Choices!$B$59,0,$C$1)),OFFSET(S$13,0,0,1,-OFFSET(Choices!$B$59,0,$C$1)))/OFFSET(Choices!$B$59,0,$C$1)-S$344/S$11,(S$344/S$11-R$344/R$11)/S$1),0))*T$11</f>
        <v>8.0983450587464727</v>
      </c>
      <c r="U344" s="26">
        <f ca="1">(T$344/T$11+IF(U$1&gt;0,U$1*IF(U$4=OFFSET(Choices!$B$10,0,$C$1),SUMPRODUCT(OFFSET(T$344,0,0,1,-OFFSET(Choices!$B$59,0,$C$1)),OFFSET(T$13,0,0,1,-OFFSET(Choices!$B$59,0,$C$1)))/OFFSET(Choices!$B$59,0,$C$1)-T$344/T$11,(T$344/T$11-S$344/S$11)/T$1),0))*U$11</f>
        <v>8.5538882537986485</v>
      </c>
      <c r="V344" s="26">
        <f ca="1">(U$344/U$11+IF(V$1&gt;0,V$1*IF(V$4=OFFSET(Choices!$B$10,0,$C$1),SUMPRODUCT(OFFSET(U$344,0,0,1,-OFFSET(Choices!$B$59,0,$C$1)),OFFSET(U$13,0,0,1,-OFFSET(Choices!$B$59,0,$C$1)))/OFFSET(Choices!$B$59,0,$C$1)-U$344/U$11,(U$344/U$11-T$344/T$11)/U$1),0))*V$11</f>
        <v>9.0135302012948149</v>
      </c>
      <c r="W344" s="26">
        <f ca="1">(V$344/V$11+IF(W$1&gt;0,W$1*IF(W$4=OFFSET(Choices!$B$10,0,$C$1),SUMPRODUCT(OFFSET(V$344,0,0,1,-OFFSET(Choices!$B$59,0,$C$1)),OFFSET(V$13,0,0,1,-OFFSET(Choices!$B$59,0,$C$1)))/OFFSET(Choices!$B$59,0,$C$1)-V$344/V$11,(V$344/V$11-U$344/U$11)/V$1),0))*W$11</f>
        <v>9.4678462344706791</v>
      </c>
      <c r="X344" s="26">
        <f ca="1">(W$344/W$11+IF(X$1&gt;0,X$1*IF(X$4=OFFSET(Choices!$B$10,0,$C$1),SUMPRODUCT(OFFSET(W$344,0,0,1,-OFFSET(Choices!$B$59,0,$C$1)),OFFSET(W$13,0,0,1,-OFFSET(Choices!$B$59,0,$C$1)))/OFFSET(Choices!$B$59,0,$C$1)-W$344/W$11,(W$344/W$11-V$344/V$11)/W$1),0))*X$11</f>
        <v>9.9158946927938487</v>
      </c>
      <c r="Y344" s="26">
        <f ca="1">(X$344/X$11+IF(Y$1&gt;0,Y$1*IF(Y$4=OFFSET(Choices!$B$10,0,$C$1),SUMPRODUCT(OFFSET(X$344,0,0,1,-OFFSET(Choices!$B$59,0,$C$1)),OFFSET(X$13,0,0,1,-OFFSET(Choices!$B$59,0,$C$1)))/OFFSET(Choices!$B$59,0,$C$1)-X$344/X$11,(X$344/X$11-W$344/W$11)/X$1),0))*Y$11</f>
        <v>10.351235751153176</v>
      </c>
      <c r="Z344" s="26">
        <f ca="1">(Y$344/Y$11+IF(Z$1&gt;0,Z$1*IF(Z$4=OFFSET(Choices!$B$10,0,$C$1),SUMPRODUCT(OFFSET(Y$344,0,0,1,-OFFSET(Choices!$B$59,0,$C$1)),OFFSET(Y$13,0,0,1,-OFFSET(Choices!$B$59,0,$C$1)))/OFFSET(Choices!$B$59,0,$C$1)-Y$344/Y$11,(Y$344/Y$11-X$344/X$11)/Y$1),0))*Z$11</f>
        <v>10.799324686496716</v>
      </c>
      <c r="AA344" s="26">
        <f ca="1">(Z$344/Z$11+IF(AA$1&gt;0,AA$1*IF(AA$4=OFFSET(Choices!$B$10,0,$C$1),SUMPRODUCT(OFFSET(Z$344,0,0,1,-OFFSET(Choices!$B$59,0,$C$1)),OFFSET(Z$13,0,0,1,-OFFSET(Choices!$B$59,0,$C$1)))/OFFSET(Choices!$B$59,0,$C$1)-Z$344/Z$11,(Z$344/Z$11-Y$344/Y$11)/Z$1),0))*AA$11</f>
        <v>11.260476753723607</v>
      </c>
      <c r="AB344" s="26">
        <f ca="1">(AA$344/AA$11+IF(AB$1&gt;0,AB$1*IF(AB$4=OFFSET(Choices!$B$10,0,$C$1),SUMPRODUCT(OFFSET(AA$344,0,0,1,-OFFSET(Choices!$B$59,0,$C$1)),OFFSET(AA$13,0,0,1,-OFFSET(Choices!$B$59,0,$C$1)))/OFFSET(Choices!$B$59,0,$C$1)-AA$344/AA$11,(AA$344/AA$11-Z$344/Z$11)/AA$1),0))*AB$11</f>
        <v>11.732911201361048</v>
      </c>
      <c r="AC344" s="26">
        <f ca="1">(AB$344/AB$11+IF(AC$1&gt;0,AC$1*IF(AC$4=OFFSET(Choices!$B$10,0,$C$1),SUMPRODUCT(OFFSET(AB$344,0,0,1,-OFFSET(Choices!$B$59,0,$C$1)),OFFSET(AB$13,0,0,1,-OFFSET(Choices!$B$59,0,$C$1)))/OFFSET(Choices!$B$59,0,$C$1)-AB$344/AB$11,(AB$344/AB$11-AA$344/AA$11)/AB$1),0))*AC$11</f>
        <v>12.219090222043455</v>
      </c>
    </row>
    <row r="345" spans="1:29" x14ac:dyDescent="0.2">
      <c r="A345" s="31" t="s">
        <v>599</v>
      </c>
      <c r="B345" s="4"/>
      <c r="F345" s="56">
        <f t="shared" ref="F345:AC345" si="190">SUM(F$343:F$344)</f>
        <v>1.1180000000000001</v>
      </c>
      <c r="G345" s="56">
        <f t="shared" si="190"/>
        <v>0.872</v>
      </c>
      <c r="H345" s="56">
        <f t="shared" si="190"/>
        <v>3.375</v>
      </c>
      <c r="I345" s="56">
        <f t="shared" si="190"/>
        <v>4.9729999999999999</v>
      </c>
      <c r="J345" s="56">
        <f t="shared" si="190"/>
        <v>6.0869999999999997</v>
      </c>
      <c r="K345" s="56">
        <f t="shared" si="190"/>
        <v>6.7560000000000002</v>
      </c>
      <c r="L345" s="56">
        <f t="shared" si="190"/>
        <v>11.047000000000001</v>
      </c>
      <c r="M345" s="56">
        <f t="shared" si="190"/>
        <v>8.2270000000000003</v>
      </c>
      <c r="N345" s="56">
        <f t="shared" si="190"/>
        <v>9.032</v>
      </c>
      <c r="O345" s="57">
        <f t="shared" si="190"/>
        <v>10.529</v>
      </c>
      <c r="P345" s="57">
        <f t="shared" si="190"/>
        <v>10.637</v>
      </c>
      <c r="Q345" s="57">
        <f t="shared" si="190"/>
        <v>11.273</v>
      </c>
      <c r="R345" s="57">
        <f t="shared" si="190"/>
        <v>11.945</v>
      </c>
      <c r="S345" s="57">
        <f t="shared" si="190"/>
        <v>12.659000000000001</v>
      </c>
      <c r="T345" s="58">
        <f t="shared" ca="1" si="190"/>
        <v>12.944927067747717</v>
      </c>
      <c r="U345" s="58">
        <f t="shared" ca="1" si="190"/>
        <v>13.684000146316507</v>
      </c>
      <c r="V345" s="58">
        <f t="shared" ca="1" si="190"/>
        <v>14.778599149698255</v>
      </c>
      <c r="W345" s="58">
        <f t="shared" ca="1" si="190"/>
        <v>15.884060579990292</v>
      </c>
      <c r="X345" s="58">
        <f t="shared" ca="1" si="190"/>
        <v>16.998246555863119</v>
      </c>
      <c r="Y345" s="58">
        <f t="shared" ca="1" si="190"/>
        <v>18.109370759257196</v>
      </c>
      <c r="Z345" s="58">
        <f t="shared" ca="1" si="190"/>
        <v>19.238063640398209</v>
      </c>
      <c r="AA345" s="58">
        <f t="shared" ca="1" si="190"/>
        <v>20.38372758658052</v>
      </c>
      <c r="AB345" s="58">
        <f t="shared" ca="1" si="190"/>
        <v>21.544454470659353</v>
      </c>
      <c r="AC345" s="58">
        <f t="shared" ca="1" si="190"/>
        <v>22.727370459754699</v>
      </c>
    </row>
    <row r="346" spans="1:29" x14ac:dyDescent="0.2">
      <c r="A346" s="31" t="s">
        <v>600</v>
      </c>
      <c r="B346" s="4" t="str">
        <f>$B$46</f>
        <v>From Fiscal Forecasts</v>
      </c>
      <c r="F346" s="23">
        <f>'Fiscal Forecasts'!F$113</f>
        <v>4.1630000000000003</v>
      </c>
      <c r="G346" s="23">
        <f>'Fiscal Forecasts'!G$113</f>
        <v>3.8039999999999998</v>
      </c>
      <c r="H346" s="23">
        <f>'Fiscal Forecasts'!H$113</f>
        <v>6.2679999999999998</v>
      </c>
      <c r="I346" s="23">
        <f>'Fiscal Forecasts'!I$113</f>
        <v>7.774</v>
      </c>
      <c r="J346" s="23">
        <f>'Fiscal Forecasts'!J$113</f>
        <v>9.8010000000000002</v>
      </c>
      <c r="K346" s="23">
        <f>'Fiscal Forecasts'!K$113</f>
        <v>10.686</v>
      </c>
      <c r="L346" s="23">
        <f>'Fiscal Forecasts'!L$113</f>
        <v>14.923999999999999</v>
      </c>
      <c r="M346" s="23">
        <f>'Fiscal Forecasts'!M$113</f>
        <v>11.888</v>
      </c>
      <c r="N346" s="23">
        <f>'Fiscal Forecasts'!N$113</f>
        <v>11.981999999999999</v>
      </c>
      <c r="O346" s="25">
        <f>'Fiscal Forecasts'!O$113</f>
        <v>14.157999999999999</v>
      </c>
      <c r="P346" s="25">
        <f>'Fiscal Forecasts'!P$113</f>
        <v>14.105</v>
      </c>
      <c r="Q346" s="25">
        <f>'Fiscal Forecasts'!Q$113</f>
        <v>14.673999999999999</v>
      </c>
      <c r="R346" s="25">
        <f>'Fiscal Forecasts'!R$113</f>
        <v>15.784000000000001</v>
      </c>
      <c r="S346" s="25">
        <f>'Fiscal Forecasts'!S$113</f>
        <v>16.995999999999999</v>
      </c>
      <c r="T346" s="11">
        <f ca="1">((S$346-S$345)/S$11+IF(T$1&gt;0,T$1*IF(T$4=OFFSET(Choices!$B$10,0,$C$1),(SUMPRODUCT(OFFSET(S$346,0,0,1,-OFFSET(Choices!$B$59,0,$C$1)),OFFSET(S$13,0,0,1,-OFFSET(Choices!$B$59,0,$C$1)))-SUMPRODUCT(OFFSET(S$345,0,0,1,-OFFSET(Choices!$B$59,0,$C$1)),OFFSET(S$13,0,0,1,-OFFSET(Choices!$B$59,0,$C$1))))/OFFSET(Choices!$B$59,0,$C$1)-(S$346-S$345)/S$11,((S$346-S$345)/S$11-(R$346-R$345)/R$11)/S$1),0))*T$11 +T$345</f>
        <v>17.362478600001349</v>
      </c>
      <c r="U346" s="11">
        <f ca="1">((T$346-T$345)/T$11+IF(U$1&gt;0,U$1*IF(U$4=OFFSET(Choices!$B$10,0,$C$1),(SUMPRODUCT(OFFSET(T$346,0,0,1,-OFFSET(Choices!$B$59,0,$C$1)),OFFSET(T$13,0,0,1,-OFFSET(Choices!$B$59,0,$C$1)))-SUMPRODUCT(OFFSET(T$345,0,0,1,-OFFSET(Choices!$B$59,0,$C$1)),OFFSET(T$13,0,0,1,-OFFSET(Choices!$B$59,0,$C$1))))/OFFSET(Choices!$B$59,0,$C$1)-(T$346-T$345)/T$11,((T$346-T$345)/T$11-(S$346-S$345)/S$11)/T$1),0))*U$11 +U$345</f>
        <v>18.203757069924031</v>
      </c>
      <c r="V346" s="11">
        <f ca="1">((U$346-U$345)/U$11+IF(V$1&gt;0,V$1*IF(V$4=OFFSET(Choices!$B$10,0,$C$1),(SUMPRODUCT(OFFSET(U$346,0,0,1,-OFFSET(Choices!$B$59,0,$C$1)),OFFSET(U$13,0,0,1,-OFFSET(Choices!$B$59,0,$C$1)))-SUMPRODUCT(OFFSET(U$345,0,0,1,-OFFSET(Choices!$B$59,0,$C$1)),OFFSET(U$13,0,0,1,-OFFSET(Choices!$B$59,0,$C$1))))/OFFSET(Choices!$B$59,0,$C$1)-(U$346-U$345)/U$11,((U$346-U$345)/U$11-(T$346-T$345)/T$11)/U$1),0))*V$11 +V$345</f>
        <v>19.427877165688884</v>
      </c>
      <c r="W346" s="11">
        <f ca="1">((V$346-V$345)/V$11+IF(W$1&gt;0,W$1*IF(W$4=OFFSET(Choices!$B$10,0,$C$1),(SUMPRODUCT(OFFSET(V$346,0,0,1,-OFFSET(Choices!$B$59,0,$C$1)),OFFSET(V$13,0,0,1,-OFFSET(Choices!$B$59,0,$C$1)))-SUMPRODUCT(OFFSET(V$345,0,0,1,-OFFSET(Choices!$B$59,0,$C$1)),OFFSET(V$13,0,0,1,-OFFSET(Choices!$B$59,0,$C$1))))/OFFSET(Choices!$B$59,0,$C$1)-(V$346-V$345)/V$11,((V$346-V$345)/V$11-(U$346-U$345)/U$11)/V$1),0))*W$11 +W$345</f>
        <v>20.689410298907859</v>
      </c>
      <c r="X346" s="11">
        <f ca="1">((W$346-W$345)/W$11+IF(X$1&gt;0,X$1*IF(X$4=OFFSET(Choices!$B$10,0,$C$1),(SUMPRODUCT(OFFSET(W$346,0,0,1,-OFFSET(Choices!$B$59,0,$C$1)),OFFSET(W$13,0,0,1,-OFFSET(Choices!$B$59,0,$C$1)))-SUMPRODUCT(OFFSET(W$345,0,0,1,-OFFSET(Choices!$B$59,0,$C$1)),OFFSET(W$13,0,0,1,-OFFSET(Choices!$B$59,0,$C$1))))/OFFSET(Choices!$B$59,0,$C$1)-(W$346-W$345)/W$11,((W$346-W$345)/W$11-(V$346-V$345)/V$11)/W$1),0))*X$11 +X$345</f>
        <v>21.990355059865433</v>
      </c>
      <c r="Y346" s="11">
        <f ca="1">((X$346-X$345)/X$11+IF(Y$1&gt;0,Y$1*IF(Y$4=OFFSET(Choices!$B$10,0,$C$1),(SUMPRODUCT(OFFSET(X$346,0,0,1,-OFFSET(Choices!$B$59,0,$C$1)),OFFSET(X$13,0,0,1,-OFFSET(Choices!$B$59,0,$C$1)))-SUMPRODUCT(OFFSET(X$345,0,0,1,-OFFSET(Choices!$B$59,0,$C$1)),OFFSET(X$13,0,0,1,-OFFSET(Choices!$B$59,0,$C$1))))/OFFSET(Choices!$B$59,0,$C$1)-(X$346-X$345)/X$11,((X$346-X$345)/X$11-(W$346-W$345)/W$11)/X$1),0))*Y$11 +Y$345</f>
        <v>23.320649581915308</v>
      </c>
      <c r="Z346" s="11">
        <f ca="1">((Y$346-Y$345)/Y$11+IF(Z$1&gt;0,Z$1*IF(Z$4=OFFSET(Choices!$B$10,0,$C$1),(SUMPRODUCT(OFFSET(Y$346,0,0,1,-OFFSET(Choices!$B$59,0,$C$1)),OFFSET(Y$13,0,0,1,-OFFSET(Choices!$B$59,0,$C$1)))-SUMPRODUCT(OFFSET(Y$345,0,0,1,-OFFSET(Choices!$B$59,0,$C$1)),OFFSET(Y$13,0,0,1,-OFFSET(Choices!$B$59,0,$C$1))))/OFFSET(Choices!$B$59,0,$C$1)-(Y$346-Y$345)/Y$11,((Y$346-Y$345)/Y$11-(X$346-X$345)/X$11)/Y$1),0))*Z$11 +Z$345</f>
        <v>24.674930637797978</v>
      </c>
      <c r="AA346" s="11">
        <f ca="1">((Z$346-Z$345)/Z$11+IF(AA$1&gt;0,AA$1*IF(AA$4=OFFSET(Choices!$B$10,0,$C$1),(SUMPRODUCT(OFFSET(Z$346,0,0,1,-OFFSET(Choices!$B$59,0,$C$1)),OFFSET(Z$13,0,0,1,-OFFSET(Choices!$B$59,0,$C$1)))-SUMPRODUCT(OFFSET(Z$345,0,0,1,-OFFSET(Choices!$B$59,0,$C$1)),OFFSET(Z$13,0,0,1,-OFFSET(Choices!$B$59,0,$C$1))))/OFFSET(Choices!$B$59,0,$C$1)-(Z$346-Z$345)/Z$11,((Z$346-Z$345)/Z$11-(Y$346-Y$345)/Y$11)/Z$1),0))*AA$11 +AA$345</f>
        <v>26.052759328339121</v>
      </c>
      <c r="AB346" s="11">
        <f ca="1">((AA$346-AA$345)/AA$11+IF(AB$1&gt;0,AB$1*IF(AB$4=OFFSET(Choices!$B$10,0,$C$1),(SUMPRODUCT(OFFSET(AA$346,0,0,1,-OFFSET(Choices!$B$59,0,$C$1)),OFFSET(AA$13,0,0,1,-OFFSET(Choices!$B$59,0,$C$1)))-SUMPRODUCT(OFFSET(AA$345,0,0,1,-OFFSET(Choices!$B$59,0,$C$1)),OFFSET(AA$13,0,0,1,-OFFSET(Choices!$B$59,0,$C$1))))/OFFSET(Choices!$B$59,0,$C$1)-(AA$346-AA$345)/AA$11,((AA$346-AA$345)/AA$11-(Z$346-Z$345)/Z$11)/AA$1),0))*AB$11 +AB$345</f>
        <v>27.45133101580705</v>
      </c>
      <c r="AC346" s="11">
        <f ca="1">((AB$346-AB$345)/AB$11+IF(AC$1&gt;0,AC$1*IF(AC$4=OFFSET(Choices!$B$10,0,$C$1),(SUMPRODUCT(OFFSET(AB$346,0,0,1,-OFFSET(Choices!$B$59,0,$C$1)),OFFSET(AB$13,0,0,1,-OFFSET(Choices!$B$59,0,$C$1)))-SUMPRODUCT(OFFSET(AB$345,0,0,1,-OFFSET(Choices!$B$59,0,$C$1)),OFFSET(AB$13,0,0,1,-OFFSET(Choices!$B$59,0,$C$1))))/OFFSET(Choices!$B$59,0,$C$1)-(AB$346-AB$345)/AB$11,((AB$346-AB$345)/AB$11-(AA$346-AA$345)/AA$11)/AB$1),0))*AC$11 +AC$345</f>
        <v>28.879011446116152</v>
      </c>
    </row>
    <row r="347" spans="1:29" x14ac:dyDescent="0.2">
      <c r="A347" s="31"/>
      <c r="B347" s="4"/>
    </row>
    <row r="348" spans="1:29" x14ac:dyDescent="0.2">
      <c r="A348" s="3" t="s">
        <v>821</v>
      </c>
      <c r="B348" s="4"/>
      <c r="F348" s="21">
        <f>F$370-F$91</f>
        <v>1</v>
      </c>
      <c r="G348" s="21">
        <f t="shared" ref="G348:S348" si="191">G$370-G$91</f>
        <v>0.85700000000000109</v>
      </c>
      <c r="H348" s="21">
        <f t="shared" si="191"/>
        <v>1.391</v>
      </c>
      <c r="I348" s="21">
        <f t="shared" si="191"/>
        <v>1.3629999999999995</v>
      </c>
      <c r="J348" s="21">
        <f t="shared" si="191"/>
        <v>2.5280000000000022</v>
      </c>
      <c r="K348" s="21">
        <f t="shared" si="191"/>
        <v>1.6189999999999998</v>
      </c>
      <c r="L348" s="21">
        <f t="shared" si="191"/>
        <v>2.0120000000000005</v>
      </c>
      <c r="M348" s="21">
        <f t="shared" si="191"/>
        <v>1.232999999999997</v>
      </c>
      <c r="N348" s="21">
        <f t="shared" si="191"/>
        <v>1.5050000000000026</v>
      </c>
      <c r="O348" s="24">
        <f t="shared" si="191"/>
        <v>2.0819999999999972</v>
      </c>
      <c r="P348" s="24">
        <f t="shared" si="191"/>
        <v>1.9579999999999984</v>
      </c>
      <c r="Q348" s="24">
        <f t="shared" si="191"/>
        <v>2.0039999999999978</v>
      </c>
      <c r="R348" s="24">
        <f t="shared" si="191"/>
        <v>2.0510000000000019</v>
      </c>
      <c r="S348" s="24">
        <f t="shared" si="191"/>
        <v>2.1000000000000014</v>
      </c>
      <c r="T348" s="26">
        <f ca="1">IF(T$4=OFFSET(Choices!$B$10,0,$C$1),AVERAGE(Q$348/Q$368,R$348/R$368,S$348/S$368),S$348/S$368)*T$368</f>
        <v>2.3148008425513318</v>
      </c>
      <c r="U348" s="26">
        <f ca="1">IF(U$4=OFFSET(Choices!$B$10,0,$C$1),AVERAGE(R$348/R$368,S$348/S$368,T$348/T$368),T$348/T$368)*U$368</f>
        <v>2.4502190015825431</v>
      </c>
      <c r="V348" s="26">
        <f ca="1">IF(V$4=OFFSET(Choices!$B$10,0,$C$1),AVERAGE(S$348/S$368,T$348/T$368,U$348/U$368),U$348/U$368)*V$368</f>
        <v>2.7534840913340619</v>
      </c>
      <c r="W348" s="26">
        <f ca="1">IF(W$4=OFFSET(Choices!$B$10,0,$C$1),AVERAGE(T$348/T$368,U$348/U$368,V$348/V$368),V$348/V$368)*W$368</f>
        <v>3.0644809776074355</v>
      </c>
      <c r="X348" s="26">
        <f ca="1">IF(X$4=OFFSET(Choices!$B$10,0,$C$1),AVERAGE(U$348/U$368,V$348/V$368,W$348/W$368),W$348/W$368)*X$368</f>
        <v>3.3826383272644063</v>
      </c>
      <c r="Y348" s="26">
        <f ca="1">IF(Y$4=OFFSET(Choices!$B$10,0,$C$1),AVERAGE(V$348/V$368,W$348/W$368,X$348/X$368),X$348/X$368)*Y$368</f>
        <v>3.7054025744396641</v>
      </c>
      <c r="Z348" s="26">
        <f ca="1">IF(Z$4=OFFSET(Choices!$B$10,0,$C$1),AVERAGE(W$348/W$368,X$348/X$368,Y$348/Y$368),Y$348/Y$368)*Z$368</f>
        <v>4.0304693089444639</v>
      </c>
      <c r="AA348" s="26">
        <f ca="1">IF(AA$4=OFFSET(Choices!$B$10,0,$C$1),AVERAGE(X$348/X$368,Y$348/Y$368,Z$348/Z$368),Z$348/Z$368)*AA$368</f>
        <v>4.3574025314092024</v>
      </c>
      <c r="AB348" s="26">
        <f ca="1">IF(AB$4=OFFSET(Choices!$B$10,0,$C$1),AVERAGE(Y$348/Y$368,Z$348/Z$368,AA$348/AA$368),AA$348/AA$368)*AB$368</f>
        <v>4.6861414052871622</v>
      </c>
      <c r="AC348" s="26">
        <f ca="1">IF(AC$4=OFFSET(Choices!$B$10,0,$C$1),AVERAGE(Z$348/Z$368,AA$348/AA$368,AB$348/AB$368),AB$348/AB$368)*AC$368</f>
        <v>5.0189135153068758</v>
      </c>
    </row>
    <row r="349" spans="1:29" x14ac:dyDescent="0.2">
      <c r="A349" s="3" t="s">
        <v>603</v>
      </c>
      <c r="B349" s="4" t="str">
        <f>$B$46</f>
        <v>From Fiscal Forecasts</v>
      </c>
      <c r="F349" s="21">
        <f>'Fiscal Forecasts'!F$306</f>
        <v>6.3680000000000003</v>
      </c>
      <c r="G349" s="21">
        <f>'Fiscal Forecasts'!G$306</f>
        <v>7.3979999999999997</v>
      </c>
      <c r="H349" s="21">
        <f>'Fiscal Forecasts'!H$306</f>
        <v>7.649</v>
      </c>
      <c r="I349" s="21">
        <f>'Fiscal Forecasts'!I$306</f>
        <v>6.8639999999999999</v>
      </c>
      <c r="J349" s="21">
        <f>'Fiscal Forecasts'!J$306</f>
        <v>7.1040000000000001</v>
      </c>
      <c r="K349" s="21">
        <f>'Fiscal Forecasts'!K$306</f>
        <v>7.2569999999999997</v>
      </c>
      <c r="L349" s="21">
        <f>'Fiscal Forecasts'!L$306</f>
        <v>8.1839999999999993</v>
      </c>
      <c r="M349" s="21">
        <f>'Fiscal Forecasts'!M$306</f>
        <v>8.7720000000000002</v>
      </c>
      <c r="N349" s="21">
        <f>'Fiscal Forecasts'!N$306</f>
        <v>8.9570000000000007</v>
      </c>
      <c r="O349" s="24">
        <f>'Fiscal Forecasts'!O$306</f>
        <v>8.7319999999999993</v>
      </c>
      <c r="P349" s="24">
        <f>'Fiscal Forecasts'!P$306</f>
        <v>8.93</v>
      </c>
      <c r="Q349" s="24">
        <f>'Fiscal Forecasts'!Q$306</f>
        <v>9.4710000000000001</v>
      </c>
      <c r="R349" s="24">
        <f>'Fiscal Forecasts'!R$306</f>
        <v>10.029999999999999</v>
      </c>
      <c r="S349" s="24">
        <f>'Fiscal Forecasts'!S$306</f>
        <v>10.497999999999999</v>
      </c>
      <c r="T349" s="26">
        <f t="shared" ref="T349:AC349" ca="1" si="192">S$349+T$142-(T$456-T$363)+T$428-S$428-T$267</f>
        <v>10.729207076589285</v>
      </c>
      <c r="U349" s="26">
        <f t="shared" ca="1" si="192"/>
        <v>10.956128780234499</v>
      </c>
      <c r="V349" s="26">
        <f t="shared" ca="1" si="192"/>
        <v>11.197081745087663</v>
      </c>
      <c r="W349" s="26">
        <f t="shared" ca="1" si="192"/>
        <v>11.444468376830196</v>
      </c>
      <c r="X349" s="26">
        <f t="shared" ca="1" si="192"/>
        <v>11.688887694149111</v>
      </c>
      <c r="Y349" s="26">
        <f t="shared" ca="1" si="192"/>
        <v>11.943749475467081</v>
      </c>
      <c r="Z349" s="26">
        <f t="shared" ca="1" si="192"/>
        <v>12.205122128036454</v>
      </c>
      <c r="AA349" s="26">
        <f t="shared" ca="1" si="192"/>
        <v>12.473153649934961</v>
      </c>
      <c r="AB349" s="26">
        <f t="shared" ca="1" si="192"/>
        <v>12.746449371341667</v>
      </c>
      <c r="AC349" s="26">
        <f t="shared" ca="1" si="192"/>
        <v>13.026744947572352</v>
      </c>
    </row>
    <row r="350" spans="1:29" x14ac:dyDescent="0.2">
      <c r="A350" s="3" t="s">
        <v>742</v>
      </c>
      <c r="B350" s="4" t="str">
        <f>$B$46</f>
        <v>From Fiscal Forecasts</v>
      </c>
      <c r="F350" s="21">
        <f>'Fiscal Forecasts'!F$183-SUM(F$348:F$349)</f>
        <v>0.22199999999999953</v>
      </c>
      <c r="G350" s="21">
        <f>'Fiscal Forecasts'!G$183-SUM(G$348:G$349)</f>
        <v>0.7759999999999998</v>
      </c>
      <c r="H350" s="21">
        <f>'Fiscal Forecasts'!H$183-SUM(H$348:H$349)</f>
        <v>1.2030000000000012</v>
      </c>
      <c r="I350" s="21">
        <f>'Fiscal Forecasts'!I$183-SUM(I$348:I$349)</f>
        <v>0.54899999999999949</v>
      </c>
      <c r="J350" s="21">
        <f>'Fiscal Forecasts'!J$183-SUM(J$348:J$349)</f>
        <v>1.743999999999998</v>
      </c>
      <c r="K350" s="21">
        <f>'Fiscal Forecasts'!K$183-SUM(K$348:K$349)</f>
        <v>2.0980000000000008</v>
      </c>
      <c r="L350" s="21">
        <f>'Fiscal Forecasts'!L$183-SUM(L$348:L$349)</f>
        <v>1.7279999999999998</v>
      </c>
      <c r="M350" s="21">
        <f>'Fiscal Forecasts'!M$183-SUM(M$348:M$349)</f>
        <v>2.474000000000002</v>
      </c>
      <c r="N350" s="21">
        <f>'Fiscal Forecasts'!N$183-SUM(N$348:N$349)</f>
        <v>1.7089999999999961</v>
      </c>
      <c r="O350" s="24">
        <f>'Fiscal Forecasts'!O$183-SUM(O$348:O$349)</f>
        <v>2.0080000000000027</v>
      </c>
      <c r="P350" s="24">
        <f>'Fiscal Forecasts'!P$183-SUM(P$348:P$349)</f>
        <v>1.7140000000000022</v>
      </c>
      <c r="Q350" s="24">
        <f>'Fiscal Forecasts'!Q$183-SUM(Q$348:Q$349)</f>
        <v>1.7160000000000029</v>
      </c>
      <c r="R350" s="24">
        <f>'Fiscal Forecasts'!R$183-SUM(R$348:R$349)</f>
        <v>1.7679999999999989</v>
      </c>
      <c r="S350" s="24">
        <f>'Fiscal Forecasts'!S$183-SUM(S$348:S$349)</f>
        <v>1.8229999999999986</v>
      </c>
      <c r="T350" s="26">
        <f t="shared" ref="T350:AC350" ca="1" si="193">S$350+T$155+T$168-T$459+T$433-S$433</f>
        <v>1.9219044248374293</v>
      </c>
      <c r="U350" s="26">
        <f t="shared" ca="1" si="193"/>
        <v>2.0251933412959691</v>
      </c>
      <c r="V350" s="26">
        <f t="shared" ca="1" si="193"/>
        <v>2.1331189403952231</v>
      </c>
      <c r="W350" s="26">
        <f t="shared" ca="1" si="193"/>
        <v>2.245853578820542</v>
      </c>
      <c r="X350" s="26">
        <f t="shared" ca="1" si="193"/>
        <v>2.3635955909785094</v>
      </c>
      <c r="Y350" s="26">
        <f t="shared" ca="1" si="193"/>
        <v>2.4865068726551875</v>
      </c>
      <c r="Z350" s="26">
        <f t="shared" ca="1" si="193"/>
        <v>2.614738793014264</v>
      </c>
      <c r="AA350" s="26">
        <f t="shared" ca="1" si="193"/>
        <v>2.7484464645776732</v>
      </c>
      <c r="AB350" s="26">
        <f t="shared" ca="1" si="193"/>
        <v>2.8877638551024978</v>
      </c>
      <c r="AC350" s="26">
        <f t="shared" ca="1" si="193"/>
        <v>3.0328541685896604</v>
      </c>
    </row>
    <row r="351" spans="1:29" x14ac:dyDescent="0.2">
      <c r="A351" s="31" t="s">
        <v>601</v>
      </c>
      <c r="B351" s="4"/>
      <c r="F351" s="56">
        <f>SUM(F$348:F$350)</f>
        <v>7.59</v>
      </c>
      <c r="G351" s="56">
        <f t="shared" ref="G351:AC351" si="194">SUM(G$348:G$350)</f>
        <v>9.0310000000000006</v>
      </c>
      <c r="H351" s="56">
        <f t="shared" si="194"/>
        <v>10.243</v>
      </c>
      <c r="I351" s="56">
        <f t="shared" si="194"/>
        <v>8.7759999999999998</v>
      </c>
      <c r="J351" s="56">
        <f t="shared" si="194"/>
        <v>11.375999999999999</v>
      </c>
      <c r="K351" s="56">
        <f t="shared" si="194"/>
        <v>10.974</v>
      </c>
      <c r="L351" s="56">
        <f t="shared" si="194"/>
        <v>11.923999999999999</v>
      </c>
      <c r="M351" s="56">
        <f t="shared" si="194"/>
        <v>12.478999999999999</v>
      </c>
      <c r="N351" s="56">
        <f t="shared" si="194"/>
        <v>12.170999999999999</v>
      </c>
      <c r="O351" s="57">
        <f t="shared" si="194"/>
        <v>12.821999999999999</v>
      </c>
      <c r="P351" s="57">
        <f t="shared" si="194"/>
        <v>12.602</v>
      </c>
      <c r="Q351" s="57">
        <f t="shared" si="194"/>
        <v>13.191000000000001</v>
      </c>
      <c r="R351" s="57">
        <f t="shared" si="194"/>
        <v>13.849</v>
      </c>
      <c r="S351" s="57">
        <f t="shared" si="194"/>
        <v>14.420999999999999</v>
      </c>
      <c r="T351" s="58">
        <f t="shared" ca="1" si="194"/>
        <v>14.965912343978045</v>
      </c>
      <c r="U351" s="58">
        <f t="shared" ca="1" si="194"/>
        <v>15.431541123113011</v>
      </c>
      <c r="V351" s="58">
        <f t="shared" ca="1" si="194"/>
        <v>16.083684776816948</v>
      </c>
      <c r="W351" s="58">
        <f t="shared" ca="1" si="194"/>
        <v>16.754802933258176</v>
      </c>
      <c r="X351" s="58">
        <f t="shared" ca="1" si="194"/>
        <v>17.435121612392027</v>
      </c>
      <c r="Y351" s="58">
        <f t="shared" ca="1" si="194"/>
        <v>18.135658922561934</v>
      </c>
      <c r="Z351" s="58">
        <f t="shared" ca="1" si="194"/>
        <v>18.850330229995183</v>
      </c>
      <c r="AA351" s="58">
        <f t="shared" ca="1" si="194"/>
        <v>19.579002645921836</v>
      </c>
      <c r="AB351" s="58">
        <f t="shared" ca="1" si="194"/>
        <v>20.320354631731327</v>
      </c>
      <c r="AC351" s="58">
        <f t="shared" ca="1" si="194"/>
        <v>21.07851263146889</v>
      </c>
    </row>
    <row r="352" spans="1:29" x14ac:dyDescent="0.2">
      <c r="A352" s="31" t="s">
        <v>602</v>
      </c>
      <c r="B352" s="4" t="str">
        <f>$B$46</f>
        <v>From Fiscal Forecasts</v>
      </c>
      <c r="F352" s="23">
        <f>'Fiscal Forecasts'!F$114</f>
        <v>12.058</v>
      </c>
      <c r="G352" s="23">
        <f>'Fiscal Forecasts'!G$114</f>
        <v>14.157999999999999</v>
      </c>
      <c r="H352" s="23">
        <f>'Fiscal Forecasts'!H$114</f>
        <v>14.619</v>
      </c>
      <c r="I352" s="23">
        <f>'Fiscal Forecasts'!I$114</f>
        <v>13.884</v>
      </c>
      <c r="J352" s="23">
        <f>'Fiscal Forecasts'!J$114</f>
        <v>21.69</v>
      </c>
      <c r="K352" s="23">
        <f>'Fiscal Forecasts'!K$114</f>
        <v>20.956</v>
      </c>
      <c r="L352" s="23">
        <f>'Fiscal Forecasts'!L$114</f>
        <v>19.882999999999999</v>
      </c>
      <c r="M352" s="23">
        <f>'Fiscal Forecasts'!M$114</f>
        <v>18.221</v>
      </c>
      <c r="N352" s="23">
        <f>'Fiscal Forecasts'!N$114</f>
        <v>17.602</v>
      </c>
      <c r="O352" s="25">
        <f>'Fiscal Forecasts'!O$114</f>
        <v>17.827999999999999</v>
      </c>
      <c r="P352" s="25">
        <f>'Fiscal Forecasts'!P$114</f>
        <v>17.829999999999998</v>
      </c>
      <c r="Q352" s="25">
        <f>'Fiscal Forecasts'!Q$114</f>
        <v>18.370999999999999</v>
      </c>
      <c r="R352" s="25">
        <f>'Fiscal Forecasts'!R$114</f>
        <v>19.081</v>
      </c>
      <c r="S352" s="25">
        <f>'Fiscal Forecasts'!S$114</f>
        <v>19.777000000000001</v>
      </c>
      <c r="T352" s="11">
        <f t="shared" ref="T352:AC352" ca="1" si="195">S$352-S$351+T$156-T$155+T$169-T$168-(T$97+T$99-T$459)+T$434-T$433-(S$434-S$433)+T$351</f>
        <v>20.348569011691794</v>
      </c>
      <c r="U352" s="11">
        <f t="shared" ca="1" si="195"/>
        <v>20.842036164378534</v>
      </c>
      <c r="V352" s="11">
        <f t="shared" ca="1" si="195"/>
        <v>21.523267867861069</v>
      </c>
      <c r="W352" s="11">
        <f t="shared" ca="1" si="195"/>
        <v>22.224770203789436</v>
      </c>
      <c r="X352" s="11">
        <f t="shared" ca="1" si="195"/>
        <v>22.936822647102204</v>
      </c>
      <c r="Y352" s="11">
        <f t="shared" ca="1" si="195"/>
        <v>23.670486940208527</v>
      </c>
      <c r="Z352" s="11">
        <f t="shared" ca="1" si="195"/>
        <v>24.419719246271775</v>
      </c>
      <c r="AA352" s="11">
        <f t="shared" ca="1" si="195"/>
        <v>25.184428482366002</v>
      </c>
      <c r="AB352" s="11">
        <f t="shared" ca="1" si="195"/>
        <v>25.963329216798925</v>
      </c>
      <c r="AC352" s="11">
        <f t="shared" ca="1" si="195"/>
        <v>26.760591880270873</v>
      </c>
    </row>
    <row r="353" spans="1:29" x14ac:dyDescent="0.2">
      <c r="A353" s="31"/>
      <c r="B353" s="4"/>
      <c r="S353" s="11"/>
      <c r="T353" s="11"/>
      <c r="U353" s="11"/>
      <c r="V353" s="11"/>
    </row>
    <row r="354" spans="1:29" x14ac:dyDescent="0.2">
      <c r="A354" s="31" t="s">
        <v>653</v>
      </c>
      <c r="B354" s="4"/>
      <c r="S354" s="11"/>
      <c r="T354" s="11"/>
      <c r="U354" s="11"/>
      <c r="V354" s="11"/>
    </row>
    <row r="355" spans="1:29" x14ac:dyDescent="0.2">
      <c r="A355" s="3" t="s">
        <v>412</v>
      </c>
      <c r="B355" s="4" t="str">
        <f>$B$46</f>
        <v>From Fiscal Forecasts</v>
      </c>
      <c r="F355" s="21">
        <f>SUM('Fiscal Forecasts'!F$184,'Fiscal Forecasts'!F$187)</f>
        <v>34.045999999999999</v>
      </c>
      <c r="G355" s="21">
        <f>SUM('Fiscal Forecasts'!G$184,'Fiscal Forecasts'!G$187)</f>
        <v>39.448999999999998</v>
      </c>
      <c r="H355" s="21">
        <f>SUM('Fiscal Forecasts'!H$184,'Fiscal Forecasts'!H$187)</f>
        <v>41.566000000000003</v>
      </c>
      <c r="I355" s="21">
        <f>SUM('Fiscal Forecasts'!I$184,'Fiscal Forecasts'!I$187)</f>
        <v>41.144999999999996</v>
      </c>
      <c r="J355" s="21">
        <f>SUM('Fiscal Forecasts'!J$184,'Fiscal Forecasts'!J$187)</f>
        <v>46.564999999999998</v>
      </c>
      <c r="K355" s="21">
        <f>SUM('Fiscal Forecasts'!K$184,'Fiscal Forecasts'!K$187)</f>
        <v>43.670999999999999</v>
      </c>
      <c r="L355" s="21">
        <f>SUM('Fiscal Forecasts'!L$184,'Fiscal Forecasts'!L$187)</f>
        <v>38.721000000000004</v>
      </c>
      <c r="M355" s="21">
        <f>SUM('Fiscal Forecasts'!M$184,'Fiscal Forecasts'!M$187)</f>
        <v>45.756999999999998</v>
      </c>
      <c r="N355" s="21">
        <f>SUM('Fiscal Forecasts'!N$184,'Fiscal Forecasts'!N$187)</f>
        <v>52.444000000000003</v>
      </c>
      <c r="O355" s="24">
        <f>SUM('Fiscal Forecasts'!O$184,'Fiscal Forecasts'!O$187)</f>
        <v>48.747</v>
      </c>
      <c r="P355" s="24">
        <f>SUM('Fiscal Forecasts'!P$184,'Fiscal Forecasts'!P$187)</f>
        <v>53.884</v>
      </c>
      <c r="Q355" s="24">
        <f>SUM('Fiscal Forecasts'!Q$184,'Fiscal Forecasts'!Q$187)</f>
        <v>49.84</v>
      </c>
      <c r="R355" s="24">
        <f>SUM('Fiscal Forecasts'!R$184,'Fiscal Forecasts'!R$187)</f>
        <v>48.963999999999999</v>
      </c>
      <c r="S355" s="24">
        <f>SUM('Fiscal Forecasts'!S$184,'Fiscal Forecasts'!S$187)</f>
        <v>53.777000000000001</v>
      </c>
      <c r="T355" s="26">
        <f t="shared" ref="T355:AC355" ca="1" si="196">(S$355-(S$370-SUM(S$343,S$348,S$380)))*T$11/S$11+T$370-SUM(T$343,T$348,T$380)</f>
        <v>57.086579728644494</v>
      </c>
      <c r="U355" s="26">
        <f t="shared" ca="1" si="196"/>
        <v>60.124543192776883</v>
      </c>
      <c r="V355" s="26">
        <f t="shared" ca="1" si="196"/>
        <v>65.812559897432763</v>
      </c>
      <c r="W355" s="26">
        <f t="shared" ca="1" si="196"/>
        <v>71.657247312713409</v>
      </c>
      <c r="X355" s="26">
        <f t="shared" ca="1" si="196"/>
        <v>77.655361077954197</v>
      </c>
      <c r="Y355" s="26">
        <f t="shared" ca="1" si="196"/>
        <v>83.759567051545673</v>
      </c>
      <c r="Z355" s="26">
        <f t="shared" ca="1" si="196"/>
        <v>89.931961540290473</v>
      </c>
      <c r="AA355" s="26">
        <f t="shared" ca="1" si="196"/>
        <v>96.166607473210362</v>
      </c>
      <c r="AB355" s="26">
        <f t="shared" ca="1" si="196"/>
        <v>102.45801286529466</v>
      </c>
      <c r="AC355" s="26">
        <f t="shared" ca="1" si="196"/>
        <v>108.84692030224198</v>
      </c>
    </row>
    <row r="356" spans="1:29" x14ac:dyDescent="0.2">
      <c r="A356" s="3" t="s">
        <v>413</v>
      </c>
      <c r="B356" s="4" t="str">
        <f>$B$46</f>
        <v>From Fiscal Forecasts</v>
      </c>
      <c r="F356" s="21">
        <f>SUM('Fiscal Forecasts'!F$185,'Fiscal Forecasts'!F$188)</f>
        <v>15.664999999999999</v>
      </c>
      <c r="G356" s="21">
        <f>SUM('Fiscal Forecasts'!G$185,'Fiscal Forecasts'!G$188)</f>
        <v>16.372999999999998</v>
      </c>
      <c r="H356" s="21">
        <f>SUM('Fiscal Forecasts'!H$185,'Fiscal Forecasts'!H$188)</f>
        <v>17.692999999999998</v>
      </c>
      <c r="I356" s="21">
        <f>SUM('Fiscal Forecasts'!I$185,'Fiscal Forecasts'!I$188)</f>
        <v>20.483000000000001</v>
      </c>
      <c r="J356" s="21">
        <f>SUM('Fiscal Forecasts'!J$185,'Fiscal Forecasts'!J$188)</f>
        <v>24.137</v>
      </c>
      <c r="K356" s="21">
        <f>SUM('Fiscal Forecasts'!K$185,'Fiscal Forecasts'!K$188)</f>
        <v>26.519000000000002</v>
      </c>
      <c r="L356" s="21">
        <f>SUM('Fiscal Forecasts'!L$185,'Fiscal Forecasts'!L$188)</f>
        <v>29.746000000000002</v>
      </c>
      <c r="M356" s="21">
        <f>SUM('Fiscal Forecasts'!M$185,'Fiscal Forecasts'!M$188)</f>
        <v>32.396000000000001</v>
      </c>
      <c r="N356" s="21">
        <f>SUM('Fiscal Forecasts'!N$185,'Fiscal Forecasts'!N$188)</f>
        <v>36.243000000000002</v>
      </c>
      <c r="O356" s="24">
        <f>SUM('Fiscal Forecasts'!O$185,'Fiscal Forecasts'!O$188)</f>
        <v>35.831000000000003</v>
      </c>
      <c r="P356" s="24">
        <f>SUM('Fiscal Forecasts'!P$185,'Fiscal Forecasts'!P$188)</f>
        <v>36.356000000000002</v>
      </c>
      <c r="Q356" s="24">
        <f>SUM('Fiscal Forecasts'!Q$185,'Fiscal Forecasts'!Q$188)</f>
        <v>37.655999999999999</v>
      </c>
      <c r="R356" s="24">
        <f>SUM('Fiscal Forecasts'!R$185,'Fiscal Forecasts'!R$188)</f>
        <v>39.045000000000002</v>
      </c>
      <c r="S356" s="24">
        <f>SUM('Fiscal Forecasts'!S$185,'Fiscal Forecasts'!S$188)</f>
        <v>40.451999999999998</v>
      </c>
      <c r="T356" s="26">
        <f t="shared" ref="T356:AC356" si="197">S$356*T$375/S$375</f>
        <v>42.365426103836377</v>
      </c>
      <c r="U356" s="26">
        <f t="shared" si="197"/>
        <v>44.282223237296712</v>
      </c>
      <c r="V356" s="26">
        <f t="shared" si="197"/>
        <v>46.234080483987221</v>
      </c>
      <c r="W356" s="26">
        <f t="shared" si="197"/>
        <v>48.225754840883575</v>
      </c>
      <c r="X356" s="26">
        <f t="shared" si="197"/>
        <v>50.290671421480226</v>
      </c>
      <c r="Y356" s="26">
        <f t="shared" si="197"/>
        <v>52.487310192864392</v>
      </c>
      <c r="Z356" s="26">
        <f t="shared" si="197"/>
        <v>54.734769942111569</v>
      </c>
      <c r="AA356" s="26">
        <f t="shared" si="197"/>
        <v>57.052812898735581</v>
      </c>
      <c r="AB356" s="26">
        <f t="shared" si="197"/>
        <v>59.453947599690437</v>
      </c>
      <c r="AC356" s="26">
        <f t="shared" si="197"/>
        <v>61.931510536890137</v>
      </c>
    </row>
    <row r="357" spans="1:29" x14ac:dyDescent="0.2">
      <c r="A357" s="3" t="s">
        <v>414</v>
      </c>
      <c r="B357" s="4" t="str">
        <f>$B$46</f>
        <v>From Fiscal Forecasts</v>
      </c>
      <c r="F357" s="21">
        <f>SUM('Fiscal Forecasts'!F$186,'Fiscal Forecasts'!F$189)</f>
        <v>2.2349999999999999</v>
      </c>
      <c r="G357" s="21">
        <f>SUM('Fiscal Forecasts'!G$186,'Fiscal Forecasts'!G$189)</f>
        <v>3.0920000000000001</v>
      </c>
      <c r="H357" s="21">
        <f>SUM('Fiscal Forecasts'!H$186,'Fiscal Forecasts'!H$189)</f>
        <v>3.5049999999999999</v>
      </c>
      <c r="I357" s="21">
        <f>SUM('Fiscal Forecasts'!I$186,'Fiscal Forecasts'!I$189)</f>
        <v>2.6259999999999999</v>
      </c>
      <c r="J357" s="21">
        <f>SUM('Fiscal Forecasts'!J$186,'Fiscal Forecasts'!J$189)</f>
        <v>2.8579999999999997</v>
      </c>
      <c r="K357" s="21">
        <f>SUM('Fiscal Forecasts'!K$186,'Fiscal Forecasts'!K$189)</f>
        <v>2.8710000000000004</v>
      </c>
      <c r="L357" s="21">
        <f>SUM('Fiscal Forecasts'!L$186,'Fiscal Forecasts'!L$189)</f>
        <v>2.9279999999999999</v>
      </c>
      <c r="M357" s="21">
        <f>SUM('Fiscal Forecasts'!M$186,'Fiscal Forecasts'!M$189)</f>
        <v>2.9550000000000001</v>
      </c>
      <c r="N357" s="21">
        <f>SUM('Fiscal Forecasts'!N$186,'Fiscal Forecasts'!N$189)</f>
        <v>3.8699999999999997</v>
      </c>
      <c r="O357" s="24">
        <f>SUM('Fiscal Forecasts'!O$186,'Fiscal Forecasts'!O$189)</f>
        <v>3.8079999999999998</v>
      </c>
      <c r="P357" s="24">
        <f>SUM('Fiscal Forecasts'!P$186,'Fiscal Forecasts'!P$189)</f>
        <v>3.9060000000000001</v>
      </c>
      <c r="Q357" s="24">
        <f>SUM('Fiscal Forecasts'!Q$186,'Fiscal Forecasts'!Q$189)</f>
        <v>4.056</v>
      </c>
      <c r="R357" s="24">
        <f>SUM('Fiscal Forecasts'!R$186,'Fiscal Forecasts'!R$189)</f>
        <v>4.2</v>
      </c>
      <c r="S357" s="24">
        <f>SUM('Fiscal Forecasts'!S$186,'Fiscal Forecasts'!S$189)</f>
        <v>4.3929999999999998</v>
      </c>
      <c r="T357" s="26">
        <f t="shared" ref="T357:AC357" ca="1" si="198">S$357*T$11/S$11</f>
        <v>4.5881047819248337</v>
      </c>
      <c r="U357" s="26">
        <f t="shared" ca="1" si="198"/>
        <v>4.7914981791988431</v>
      </c>
      <c r="V357" s="26">
        <f t="shared" ca="1" si="198"/>
        <v>5.0065905355933786</v>
      </c>
      <c r="W357" s="26">
        <f t="shared" ca="1" si="198"/>
        <v>5.2296783940451501</v>
      </c>
      <c r="X357" s="26">
        <f t="shared" ca="1" si="198"/>
        <v>5.4619668422658174</v>
      </c>
      <c r="Y357" s="26">
        <f t="shared" ca="1" si="198"/>
        <v>5.7017655189866971</v>
      </c>
      <c r="Z357" s="26">
        <f t="shared" ca="1" si="198"/>
        <v>5.9485861018042243</v>
      </c>
      <c r="AA357" s="26">
        <f t="shared" ca="1" si="198"/>
        <v>6.2026022424018139</v>
      </c>
      <c r="AB357" s="26">
        <f t="shared" ca="1" si="198"/>
        <v>6.4628330504210982</v>
      </c>
      <c r="AC357" s="26">
        <f t="shared" ca="1" si="198"/>
        <v>6.7306347740822412</v>
      </c>
    </row>
    <row r="358" spans="1:29" x14ac:dyDescent="0.2">
      <c r="A358" s="3" t="s">
        <v>415</v>
      </c>
      <c r="B358" s="4" t="str">
        <f>$B$46</f>
        <v>From Fiscal Forecasts</v>
      </c>
      <c r="F358" s="21">
        <f>SUM('Fiscal Forecasts'!F$115,'Fiscal Forecasts'!F$116)-SUM(F$355:F$357)</f>
        <v>-5.1749999999999972</v>
      </c>
      <c r="G358" s="21">
        <f>SUM('Fiscal Forecasts'!G$115,'Fiscal Forecasts'!G$116)-SUM(G$355:G$357)</f>
        <v>-4.7609999999999957</v>
      </c>
      <c r="H358" s="21">
        <f>SUM('Fiscal Forecasts'!H$115,'Fiscal Forecasts'!H$116)-SUM(H$355:H$357)</f>
        <v>-5.8960000000000079</v>
      </c>
      <c r="I358" s="21">
        <f>SUM('Fiscal Forecasts'!I$115,'Fiscal Forecasts'!I$116)-SUM(I$355:I$357)</f>
        <v>-8.3880000000000052</v>
      </c>
      <c r="J358" s="21">
        <f>SUM('Fiscal Forecasts'!J$115,'Fiscal Forecasts'!J$116)-SUM(J$355:J$357)</f>
        <v>-10.256000000000007</v>
      </c>
      <c r="K358" s="21">
        <f>SUM('Fiscal Forecasts'!K$115,'Fiscal Forecasts'!K$116)-SUM(K$355:K$357)</f>
        <v>-10.290999999999997</v>
      </c>
      <c r="L358" s="21">
        <f>SUM('Fiscal Forecasts'!L$115,'Fiscal Forecasts'!L$116)-SUM(L$355:L$357)</f>
        <v>-10.036000000000008</v>
      </c>
      <c r="M358" s="21">
        <f>SUM('Fiscal Forecasts'!M$115,'Fiscal Forecasts'!M$116)-SUM(M$355:M$357)</f>
        <v>-12.054999999999993</v>
      </c>
      <c r="N358" s="21">
        <f>SUM('Fiscal Forecasts'!N$115,'Fiscal Forecasts'!N$116)-SUM(N$355:N$357)</f>
        <v>-12.851000000000013</v>
      </c>
      <c r="O358" s="24">
        <f>SUM('Fiscal Forecasts'!O$115,'Fiscal Forecasts'!O$116)-SUM(O$355:O$357)</f>
        <v>-12.697000000000003</v>
      </c>
      <c r="P358" s="24">
        <f>SUM('Fiscal Forecasts'!P$115,'Fiscal Forecasts'!P$116)-SUM(P$355:P$357)</f>
        <v>-12.675000000000011</v>
      </c>
      <c r="Q358" s="24">
        <f>SUM('Fiscal Forecasts'!Q$115,'Fiscal Forecasts'!Q$116)-SUM(Q$355:Q$357)</f>
        <v>-13.11</v>
      </c>
      <c r="R358" s="24">
        <f>SUM('Fiscal Forecasts'!R$115,'Fiscal Forecasts'!R$116)-SUM(R$355:R$357)</f>
        <v>-13.647999999999996</v>
      </c>
      <c r="S358" s="24">
        <f>SUM('Fiscal Forecasts'!S$115,'Fiscal Forecasts'!S$116)-SUM(S$355:S$357)</f>
        <v>-14.213999999999999</v>
      </c>
      <c r="T358" s="26">
        <f ca="1">IF(T$4=OFFSET(Choices!$B$10,0,$C$1),AVERAGE(Q$358/Q$356,R$358/R$356,S$358/S$356),S$358/S$356)*T$356</f>
        <v>-14.814857617038012</v>
      </c>
      <c r="U358" s="26">
        <f ca="1">IF(U$4=OFFSET(Choices!$B$10,0,$C$1),AVERAGE(R$358/R$356,S$358/S$356,T$358/T$356),T$358/T$356)*U$356</f>
        <v>-15.485146558387523</v>
      </c>
      <c r="V358" s="26">
        <f ca="1">IF(V$4=OFFSET(Choices!$B$10,0,$C$1),AVERAGE(S$358/S$356,T$358/T$356,U$358/U$356),U$358/U$356)*V$356</f>
        <v>-16.167695746672099</v>
      </c>
      <c r="W358" s="26">
        <f ca="1">IF(W$4=OFFSET(Choices!$B$10,0,$C$1),AVERAGE(T$358/T$356,U$358/U$356,V$358/V$356),V$358/V$356)*W$356</f>
        <v>-16.864168666467737</v>
      </c>
      <c r="X358" s="26">
        <f ca="1">IF(X$4=OFFSET(Choices!$B$10,0,$C$1),AVERAGE(U$358/U$356,V$358/V$356,W$358/W$356),W$358/W$356)*X$356</f>
        <v>-17.586253818110535</v>
      </c>
      <c r="Y358" s="26">
        <f ca="1">IF(Y$4=OFFSET(Choices!$B$10,0,$C$1),AVERAGE(V$358/V$356,W$358/W$356,X$358/X$356),X$358/X$356)*Y$356</f>
        <v>-18.35440118795783</v>
      </c>
      <c r="Z358" s="26">
        <f ca="1">IF(Z$4=OFFSET(Choices!$B$10,0,$C$1),AVERAGE(W$358/W$356,X$358/X$356,Y$358/Y$356),Y$358/Y$356)*Z$356</f>
        <v>-19.140320255631405</v>
      </c>
      <c r="AA358" s="26">
        <f ca="1">IF(AA$4=OFFSET(Choices!$B$10,0,$C$1),AVERAGE(X$358/X$356,Y$358/Y$356,Z$358/Z$356),Z$358/Z$356)*AA$356</f>
        <v>-19.950921717974605</v>
      </c>
      <c r="AB358" s="26">
        <f ca="1">IF(AB$4=OFFSET(Choices!$B$10,0,$C$1),AVERAGE(Y$358/Y$356,Z$358/Z$356,AA$358/AA$356),AA$358/AA$356)*AB$356</f>
        <v>-20.790579712368153</v>
      </c>
      <c r="AC358" s="26">
        <f ca="1">IF(AC$4=OFFSET(Choices!$B$10,0,$C$1),AVERAGE(Z$358/Z$356,AA$358/AA$356,AB$358/AB$356),AB$358/AB$356)*AC$356</f>
        <v>-21.656964062236412</v>
      </c>
    </row>
    <row r="359" spans="1:29" x14ac:dyDescent="0.2">
      <c r="A359" s="31" t="s">
        <v>658</v>
      </c>
      <c r="B359" s="4"/>
      <c r="F359" s="56">
        <f>SUM(F$355:F$358)</f>
        <v>46.771000000000001</v>
      </c>
      <c r="G359" s="56">
        <f t="shared" ref="G359:AC359" si="199">SUM(G$355:G$358)</f>
        <v>54.152999999999999</v>
      </c>
      <c r="H359" s="56">
        <f t="shared" si="199"/>
        <v>56.867999999999995</v>
      </c>
      <c r="I359" s="56">
        <f t="shared" si="199"/>
        <v>55.866</v>
      </c>
      <c r="J359" s="56">
        <f t="shared" si="199"/>
        <v>63.303999999999995</v>
      </c>
      <c r="K359" s="56">
        <f t="shared" si="199"/>
        <v>62.769999999999996</v>
      </c>
      <c r="L359" s="56">
        <f t="shared" si="199"/>
        <v>61.359000000000002</v>
      </c>
      <c r="M359" s="56">
        <f t="shared" si="199"/>
        <v>69.052999999999997</v>
      </c>
      <c r="N359" s="56">
        <f t="shared" si="199"/>
        <v>79.706000000000003</v>
      </c>
      <c r="O359" s="57">
        <f t="shared" si="199"/>
        <v>75.688999999999993</v>
      </c>
      <c r="P359" s="57">
        <f t="shared" si="199"/>
        <v>81.471000000000004</v>
      </c>
      <c r="Q359" s="57">
        <f t="shared" si="199"/>
        <v>78.442000000000007</v>
      </c>
      <c r="R359" s="57">
        <f t="shared" si="199"/>
        <v>78.561000000000007</v>
      </c>
      <c r="S359" s="57">
        <f t="shared" si="199"/>
        <v>84.408000000000001</v>
      </c>
      <c r="T359" s="58">
        <f t="shared" ca="1" si="199"/>
        <v>89.22525299736769</v>
      </c>
      <c r="U359" s="58">
        <f t="shared" ca="1" si="199"/>
        <v>93.713118050884901</v>
      </c>
      <c r="V359" s="58">
        <f t="shared" ca="1" si="199"/>
        <v>100.88553517034127</v>
      </c>
      <c r="W359" s="58">
        <f t="shared" ca="1" si="199"/>
        <v>108.24851188117439</v>
      </c>
      <c r="X359" s="58">
        <f t="shared" ca="1" si="199"/>
        <v>115.82174552358971</v>
      </c>
      <c r="Y359" s="58">
        <f t="shared" ca="1" si="199"/>
        <v>123.59424157543891</v>
      </c>
      <c r="Z359" s="58">
        <f t="shared" ca="1" si="199"/>
        <v>131.47499732857486</v>
      </c>
      <c r="AA359" s="58">
        <f t="shared" ca="1" si="199"/>
        <v>139.47110089637314</v>
      </c>
      <c r="AB359" s="58">
        <f t="shared" ca="1" si="199"/>
        <v>147.58421380303804</v>
      </c>
      <c r="AC359" s="58">
        <f t="shared" ca="1" si="199"/>
        <v>155.85210155097792</v>
      </c>
    </row>
    <row r="360" spans="1:29" x14ac:dyDescent="0.2">
      <c r="A360" s="31"/>
      <c r="B360" s="4"/>
      <c r="F360" s="23"/>
    </row>
    <row r="361" spans="1:29" x14ac:dyDescent="0.2">
      <c r="A361" s="31" t="s">
        <v>619</v>
      </c>
    </row>
    <row r="362" spans="1:29" x14ac:dyDescent="0.2">
      <c r="A362" s="3" t="s">
        <v>503</v>
      </c>
      <c r="B362" s="4" t="str">
        <f t="shared" ref="B362:B367" si="200">$B$46</f>
        <v>From Fiscal Forecasts</v>
      </c>
      <c r="F362" s="21">
        <f>'Fiscal Forecasts'!F$368</f>
        <v>0.436</v>
      </c>
      <c r="G362" s="21">
        <f>'Fiscal Forecasts'!G$368</f>
        <v>0.38500000000000001</v>
      </c>
      <c r="H362" s="21">
        <f>'Fiscal Forecasts'!H$368</f>
        <v>0.38300000000000001</v>
      </c>
      <c r="I362" s="21">
        <f>'Fiscal Forecasts'!I$368</f>
        <v>0.433</v>
      </c>
      <c r="J362" s="21">
        <f>'Fiscal Forecasts'!J$368</f>
        <v>0.51800000000000002</v>
      </c>
      <c r="K362" s="21">
        <f>'Fiscal Forecasts'!K$368</f>
        <v>0.53900000000000003</v>
      </c>
      <c r="L362" s="21">
        <f>'Fiscal Forecasts'!L$368</f>
        <v>0.59499999999999997</v>
      </c>
      <c r="M362" s="21">
        <f>'Fiscal Forecasts'!M$368</f>
        <v>0.76700000000000002</v>
      </c>
      <c r="N362" s="21">
        <f>'Fiscal Forecasts'!N$368</f>
        <v>0.76</v>
      </c>
      <c r="O362" s="24">
        <f>'Fiscal Forecasts'!O$368</f>
        <v>0.79800000000000004</v>
      </c>
      <c r="P362" s="24">
        <f>'Fiscal Forecasts'!P$368</f>
        <v>0.83699999999999997</v>
      </c>
      <c r="Q362" s="24">
        <f>'Fiscal Forecasts'!Q$368</f>
        <v>0.91200000000000003</v>
      </c>
      <c r="R362" s="24">
        <f>'Fiscal Forecasts'!R$368</f>
        <v>0.99</v>
      </c>
      <c r="S362" s="24">
        <f>'Fiscal Forecasts'!S$368</f>
        <v>1.075</v>
      </c>
      <c r="T362" s="26">
        <f ca="1">IF(T$4=OFFSET(Choices!$B$10,0,$C$1),AVERAGE(SUM(Q$362,Q$367)/SUM(Q$362,-Q$364,Q$365,Q$367),SUM(R$362,R$367)/SUM(R$362,-R$364,R$365,R$367),SUM(S$362,S$367)/SUM(S$362,-S$364,S$365,S$367)),SUM(S$362,S$367)/SUM(S$362,-S$364,S$365,S$367))*SUM(Tracks!T$12,Tracks!T$14)</f>
        <v>0.9908150991189868</v>
      </c>
      <c r="U362" s="26">
        <f ca="1">IF(U$4=OFFSET(Choices!$B$10,0,$C$1),AVERAGE(SUM(R$362,R$367)/SUM(R$362,-R$364,R$365,R$367),SUM(S$362,S$367)/SUM(S$362,-S$364,S$365,S$367),SUM(T$362,T$367)/SUM(T$362,-T$364,T$365,T$367)),SUM(T$362,T$367)/SUM(T$362,-T$364,T$365,T$367))*SUM(Tracks!U$12,Tracks!U$14)</f>
        <v>1.0756665620880363</v>
      </c>
      <c r="V362" s="26">
        <f ca="1">IF(V$4=OFFSET(Choices!$B$10,0,$C$1),AVERAGE(SUM(S$362,S$367)/SUM(S$362,-S$364,S$365,S$367),SUM(T$362,T$367)/SUM(T$362,-T$364,T$365,T$367),SUM(U$362,U$367)/SUM(U$362,-U$364,U$365,U$367)),SUM(U$362,U$367)/SUM(U$362,-U$364,U$365,U$367))*SUM(Tracks!V$12,Tracks!V$14)</f>
        <v>1.1926019085220114</v>
      </c>
      <c r="W362" s="26">
        <f ca="1">IF(W$4=OFFSET(Choices!$B$10,0,$C$1),AVERAGE(SUM(T$362,T$367)/SUM(T$362,-T$364,T$365,T$367),SUM(U$362,U$367)/SUM(U$362,-U$364,U$365,U$367),SUM(V$362,V$367)/SUM(V$362,-V$364,V$365,V$367)),SUM(V$362,V$367)/SUM(V$362,-V$364,V$365,V$367))*SUM(Tracks!W$12,Tracks!W$14)</f>
        <v>1.3336896425266791</v>
      </c>
      <c r="X362" s="26">
        <f ca="1">IF(X$4=OFFSET(Choices!$B$10,0,$C$1),AVERAGE(SUM(U$362,U$367)/SUM(U$362,-U$364,U$365,U$367),SUM(V$362,V$367)/SUM(V$362,-V$364,V$365,V$367),SUM(W$362,W$367)/SUM(W$362,-W$364,W$365,W$367)),SUM(W$362,W$367)/SUM(W$362,-W$364,W$365,W$367))*SUM(Tracks!X$12,Tracks!X$14)</f>
        <v>1.4782062864531975</v>
      </c>
      <c r="Y362" s="26">
        <f ca="1">IF(Y$4=OFFSET(Choices!$B$10,0,$C$1),AVERAGE(SUM(V$362,V$367)/SUM(V$362,-V$364,V$365,V$367),SUM(W$362,W$367)/SUM(W$362,-W$364,W$365,W$367),SUM(X$362,X$367)/SUM(X$362,-X$364,X$365,X$367)),SUM(X$362,X$367)/SUM(X$362,-X$364,X$365,X$367))*SUM(Tracks!Y$12,Tracks!Y$14)</f>
        <v>1.6254554930256278</v>
      </c>
      <c r="Z362" s="26">
        <f ca="1">IF(Z$4=OFFSET(Choices!$B$10,0,$C$1),AVERAGE(SUM(W$362,W$367)/SUM(W$362,-W$364,W$365,W$367),SUM(X$362,X$367)/SUM(X$362,-X$364,X$365,X$367),SUM(Y$362,Y$367)/SUM(Y$362,-Y$364,Y$365,Y$367)),SUM(Y$362,Y$367)/SUM(Y$362,-Y$364,Y$365,Y$367))*SUM(Tracks!Z$12,Tracks!Z$14)</f>
        <v>1.7743180324814587</v>
      </c>
      <c r="AA362" s="26">
        <f ca="1">IF(AA$4=OFFSET(Choices!$B$10,0,$C$1),AVERAGE(SUM(X$362,X$367)/SUM(X$362,-X$364,X$365,X$367),SUM(Y$362,Y$367)/SUM(Y$362,-Y$364,Y$365,Y$367),SUM(Z$362,Z$367)/SUM(Z$362,-Z$364,Z$365,Z$367)),SUM(Z$362,Z$367)/SUM(Z$362,-Z$364,Z$365,Z$367))*SUM(Tracks!AA$12,Tracks!AA$14)</f>
        <v>1.9241435099380597</v>
      </c>
      <c r="AB362" s="26">
        <f ca="1">IF(AB$4=OFFSET(Choices!$B$10,0,$C$1),AVERAGE(SUM(Y$362,Y$367)/SUM(Y$362,-Y$364,Y$365,Y$367),SUM(Z$362,Z$367)/SUM(Z$362,-Z$364,Z$365,Z$367),SUM(AA$362,AA$367)/SUM(AA$362,-AA$364,AA$365,AA$367)),SUM(AA$362,AA$367)/SUM(AA$362,-AA$364,AA$365,AA$367))*SUM(Tracks!AB$12,Tracks!AB$14)</f>
        <v>2.0748136077325032</v>
      </c>
      <c r="AC362" s="26">
        <f ca="1">IF(AC$4=OFFSET(Choices!$B$10,0,$C$1),AVERAGE(SUM(Z$362,Z$367)/SUM(Z$362,-Z$364,Z$365,Z$367),SUM(AA$362,AA$367)/SUM(AA$362,-AA$364,AA$365,AA$367),SUM(AB$362,AB$367)/SUM(AB$362,-AB$364,AB$365,AB$367)),SUM(AB$362,AB$367)/SUM(AB$362,-AB$364,AB$365,AB$367))*SUM(Tracks!AC$12,Tracks!AC$14)</f>
        <v>2.2268010933948248</v>
      </c>
    </row>
    <row r="363" spans="1:29" x14ac:dyDescent="0.2">
      <c r="A363" s="3" t="s">
        <v>504</v>
      </c>
      <c r="B363" s="4" t="str">
        <f t="shared" si="200"/>
        <v>From Fiscal Forecasts</v>
      </c>
      <c r="F363" s="21">
        <f>'Fiscal Forecasts'!F$369</f>
        <v>0.70699999999999996</v>
      </c>
      <c r="G363" s="21">
        <f>'Fiscal Forecasts'!G$369</f>
        <v>0.23699999999999999</v>
      </c>
      <c r="H363" s="21">
        <f>'Fiscal Forecasts'!H$369</f>
        <v>4.0000000000000001E-3</v>
      </c>
      <c r="I363" s="21">
        <f>'Fiscal Forecasts'!I$369</f>
        <v>-2.7E-2</v>
      </c>
      <c r="J363" s="21">
        <f>'Fiscal Forecasts'!J$369</f>
        <v>0.872</v>
      </c>
      <c r="K363" s="21">
        <f>'Fiscal Forecasts'!K$369</f>
        <v>0.16</v>
      </c>
      <c r="L363" s="21">
        <f>'Fiscal Forecasts'!L$369</f>
        <v>0.98299999999999998</v>
      </c>
      <c r="M363" s="21">
        <f>'Fiscal Forecasts'!M$369</f>
        <v>1.0740000000000001</v>
      </c>
      <c r="N363" s="21">
        <f>'Fiscal Forecasts'!N$369</f>
        <v>4.5999999999999999E-2</v>
      </c>
      <c r="O363" s="24">
        <f>'Fiscal Forecasts'!O$369</f>
        <v>0.22700000000000001</v>
      </c>
      <c r="P363" s="24">
        <f>'Fiscal Forecasts'!P$369</f>
        <v>0.629</v>
      </c>
      <c r="Q363" s="24">
        <f>'Fiscal Forecasts'!Q$369</f>
        <v>0.67200000000000004</v>
      </c>
      <c r="R363" s="24">
        <f>'Fiscal Forecasts'!R$369</f>
        <v>0.72</v>
      </c>
      <c r="S363" s="24">
        <f>'Fiscal Forecasts'!S$369</f>
        <v>0.77200000000000002</v>
      </c>
      <c r="T363" s="26">
        <f>Tracks!T$13</f>
        <v>0.69519146399999965</v>
      </c>
      <c r="U363" s="26">
        <f>Tracks!U$13</f>
        <v>0.75472629831615656</v>
      </c>
      <c r="V363" s="26">
        <f>Tracks!V$13</f>
        <v>0.83677233773669613</v>
      </c>
      <c r="W363" s="26">
        <f>Tracks!W$13</f>
        <v>0.93576455983985207</v>
      </c>
      <c r="X363" s="26">
        <f>Tracks!X$13</f>
        <v>1.0371626283119377</v>
      </c>
      <c r="Y363" s="26">
        <f>Tracks!Y$13</f>
        <v>1.1404779608910922</v>
      </c>
      <c r="Z363" s="26">
        <f>Tracks!Z$13</f>
        <v>1.2449252657727761</v>
      </c>
      <c r="AA363" s="26">
        <f>Tracks!AA$13</f>
        <v>1.3500482025449028</v>
      </c>
      <c r="AB363" s="26">
        <f>Tracks!AB$13</f>
        <v>1.4557637552851455</v>
      </c>
      <c r="AC363" s="26">
        <f>Tracks!AC$13</f>
        <v>1.5624036346745687</v>
      </c>
    </row>
    <row r="364" spans="1:29" x14ac:dyDescent="0.2">
      <c r="A364" s="3" t="s">
        <v>505</v>
      </c>
      <c r="B364" s="4" t="str">
        <f t="shared" si="200"/>
        <v>From Fiscal Forecasts</v>
      </c>
      <c r="F364" s="21">
        <f>'Fiscal Forecasts'!F$370</f>
        <v>-5.1999999999999998E-2</v>
      </c>
      <c r="G364" s="21">
        <f>'Fiscal Forecasts'!G$370</f>
        <v>3.4000000000000002E-2</v>
      </c>
      <c r="H364" s="21">
        <f>'Fiscal Forecasts'!H$370</f>
        <v>-0.32300000000000001</v>
      </c>
      <c r="I364" s="21">
        <f>'Fiscal Forecasts'!I$370</f>
        <v>0.502</v>
      </c>
      <c r="J364" s="21">
        <f>'Fiscal Forecasts'!J$370</f>
        <v>0.16900000000000001</v>
      </c>
      <c r="K364" s="21">
        <f>'Fiscal Forecasts'!K$370</f>
        <v>0.13200000000000001</v>
      </c>
      <c r="L364" s="21">
        <f>'Fiscal Forecasts'!L$370</f>
        <v>0.16500000000000001</v>
      </c>
      <c r="M364" s="21">
        <f>'Fiscal Forecasts'!M$370</f>
        <v>0.16400000000000001</v>
      </c>
      <c r="N364" s="21">
        <f>'Fiscal Forecasts'!N$370</f>
        <v>0.19800000000000001</v>
      </c>
      <c r="O364" s="24">
        <f>'Fiscal Forecasts'!O$370</f>
        <v>0.153</v>
      </c>
      <c r="P364" s="24">
        <f>'Fiscal Forecasts'!P$370</f>
        <v>0.17100000000000001</v>
      </c>
      <c r="Q364" s="24">
        <f>'Fiscal Forecasts'!Q$370</f>
        <v>0.20200000000000001</v>
      </c>
      <c r="R364" s="24">
        <f>'Fiscal Forecasts'!R$370</f>
        <v>0.22700000000000001</v>
      </c>
      <c r="S364" s="24">
        <f>'Fiscal Forecasts'!S$370</f>
        <v>0.253</v>
      </c>
      <c r="T364" s="26">
        <f ca="1">IF(T$4=OFFSET(Choices!$B$10,0,$C$1),AVERAGE(Q$364/SUM(Q$362,-Q$364,Q$365,Q$367),R$364/SUM(R$362,-R$364,R$365,R$367),S$364/SUM(S$362,-S$364,S$365,S$367)),S$364/SUM(S$362,-S$364,S$365,S$367))*SUM(Tracks!T$12,Tracks!T$14)</f>
        <v>0.21935389637232919</v>
      </c>
      <c r="U364" s="26">
        <f ca="1">IF(U$4=OFFSET(Choices!$B$10,0,$C$1),AVERAGE(R$364/SUM(R$362,-R$364,R$365,R$367),S$364/SUM(S$362,-S$364,S$365,S$367),T$364/SUM(T$362,-T$364,T$365,T$367)),T$364/SUM(T$362,-T$364,T$365,T$367))*SUM(Tracks!U$12,Tracks!U$14)</f>
        <v>0.23813893409703013</v>
      </c>
      <c r="V364" s="26">
        <f ca="1">IF(V$4=OFFSET(Choices!$B$10,0,$C$1),AVERAGE(S$364/SUM(S$362,-S$364,S$365,S$367),T$364/SUM(T$362,-T$364,T$365,T$367),U$364/SUM(U$362,-U$364,U$365,U$367)),U$364/SUM(U$362,-U$364,U$365,U$367))*SUM(Tracks!V$12,Tracks!V$14)</f>
        <v>0.26402693669887606</v>
      </c>
      <c r="W364" s="26">
        <f ca="1">IF(W$4=OFFSET(Choices!$B$10,0,$C$1),AVERAGE(T$364/SUM(T$362,-T$364,T$365,T$367),U$364/SUM(U$362,-U$364,U$365,U$367),V$364/SUM(V$362,-V$364,V$365,V$367)),V$364/SUM(V$362,-V$364,V$365,V$367))*SUM(Tracks!W$12,Tracks!W$14)</f>
        <v>0.29526197158256434</v>
      </c>
      <c r="X364" s="26">
        <f ca="1">IF(X$4=OFFSET(Choices!$B$10,0,$C$1),AVERAGE(U$364/SUM(U$362,-U$364,U$365,U$367),V$364/SUM(V$362,-V$364,V$365,V$367),W$364/SUM(W$362,-W$364,W$365,W$367)),W$364/SUM(W$362,-W$364,W$365,W$367))*SUM(Tracks!X$12,Tracks!X$14)</f>
        <v>0.32725612363386192</v>
      </c>
      <c r="Y364" s="26">
        <f ca="1">IF(Y$4=OFFSET(Choices!$B$10,0,$C$1),AVERAGE(V$364/SUM(V$362,-V$364,V$365,V$367),W$364/SUM(W$362,-W$364,W$365,W$367),X$364/SUM(X$362,-X$364,X$365,X$367)),X$364/SUM(X$362,-X$364,X$365,X$367))*SUM(Tracks!Y$12,Tracks!Y$14)</f>
        <v>0.35985523039769385</v>
      </c>
      <c r="Z364" s="26">
        <f ca="1">IF(Z$4=OFFSET(Choices!$B$10,0,$C$1),AVERAGE(W$364/SUM(W$362,-W$364,W$365,W$367),X$364/SUM(X$362,-X$364,X$365,X$367),Y$364/SUM(Y$362,-Y$364,Y$365,Y$367)),Y$364/SUM(Y$362,-Y$364,Y$365,Y$367))*SUM(Tracks!Z$12,Tracks!Z$14)</f>
        <v>0.39281150859990432</v>
      </c>
      <c r="AA364" s="26">
        <f ca="1">IF(AA$4=OFFSET(Choices!$B$10,0,$C$1),AVERAGE(X$364/SUM(X$362,-X$364,X$365,X$367),Y$364/SUM(Y$362,-Y$364,Y$365,Y$367),Z$364/SUM(Z$362,-Z$364,Z$365,Z$367)),Z$364/SUM(Z$362,-Z$364,Z$365,Z$367))*SUM(Tracks!AA$12,Tracks!AA$14)</f>
        <v>0.42598096906247979</v>
      </c>
      <c r="AB364" s="26">
        <f ca="1">IF(AB$4=OFFSET(Choices!$B$10,0,$C$1),AVERAGE(Y$364/SUM(Y$362,-Y$364,Y$365,Y$367),Z$364/SUM(Z$362,-Z$364,Z$365,Z$367),AA$364/SUM(AA$362,-AA$364,AA$365,AA$367)),AA$364/SUM(AA$362,-AA$364,AA$365,AA$367))*SUM(Tracks!AB$12,Tracks!AB$14)</f>
        <v>0.45933741775547865</v>
      </c>
      <c r="AC364" s="26">
        <f ca="1">IF(AC$4=OFFSET(Choices!$B$10,0,$C$1),AVERAGE(Z$364/SUM(Z$362,-Z$364,Z$365,Z$367),AA$364/SUM(AA$362,-AA$364,AA$365,AA$367),AB$364/SUM(AB$362,-AB$364,AB$365,AB$367)),AB$364/SUM(AB$362,-AB$364,AB$365,AB$367))*SUM(Tracks!AC$12,Tracks!AC$14)</f>
        <v>0.49298551941390933</v>
      </c>
    </row>
    <row r="365" spans="1:29" x14ac:dyDescent="0.2">
      <c r="A365" s="3" t="s">
        <v>506</v>
      </c>
      <c r="B365" s="4" t="str">
        <f t="shared" si="200"/>
        <v>From Fiscal Forecasts</v>
      </c>
      <c r="F365" s="21">
        <f>'Fiscal Forecasts'!F$371</f>
        <v>1.3129999999999999</v>
      </c>
      <c r="G365" s="21">
        <f>'Fiscal Forecasts'!G$371</f>
        <v>-0.995</v>
      </c>
      <c r="H365" s="21">
        <f>'Fiscal Forecasts'!H$371</f>
        <v>-3.4950000000000001</v>
      </c>
      <c r="I365" s="21">
        <f>'Fiscal Forecasts'!I$371</f>
        <v>1.75</v>
      </c>
      <c r="J365" s="21">
        <f>'Fiscal Forecasts'!J$371</f>
        <v>3.5179999999999998</v>
      </c>
      <c r="K365" s="21">
        <f>'Fiscal Forecasts'!K$371</f>
        <v>-0.20399999999999999</v>
      </c>
      <c r="L365" s="21">
        <f>'Fiscal Forecasts'!L$371</f>
        <v>4.3739999999999997</v>
      </c>
      <c r="M365" s="21">
        <f>'Fiscal Forecasts'!M$371</f>
        <v>3.7349999999999999</v>
      </c>
      <c r="N365" s="21">
        <f>'Fiscal Forecasts'!N$371</f>
        <v>3.1560000000000001</v>
      </c>
      <c r="O365" s="24">
        <f>'Fiscal Forecasts'!O$371</f>
        <v>0.34</v>
      </c>
      <c r="P365" s="24">
        <f>'Fiscal Forecasts'!P$371</f>
        <v>1.9630000000000001</v>
      </c>
      <c r="Q365" s="24">
        <f>'Fiscal Forecasts'!Q$371</f>
        <v>2.0939999999999999</v>
      </c>
      <c r="R365" s="24">
        <f>'Fiscal Forecasts'!R$371</f>
        <v>2.2330000000000001</v>
      </c>
      <c r="S365" s="24">
        <f>'Fiscal Forecasts'!S$371</f>
        <v>2.3809999999999998</v>
      </c>
      <c r="T365" s="26">
        <f ca="1">IF(T$4=OFFSET(Choices!$B$10,0,$C$1),AVERAGE(Q$365/SUM(Q$362,-Q$364,Q$365,Q$367),R$365/SUM(R$362,-R$364,R$365,R$367),S$365/SUM(S$362,-S$364,S$365,S$367)),S$365/SUM(S$362,-S$364,S$365,S$367))*SUM(Tracks!T$12,Tracks!T$14)</f>
        <v>2.1622482222923671</v>
      </c>
      <c r="U365" s="26">
        <f ca="1">IF(U$4=OFFSET(Choices!$B$10,0,$C$1),AVERAGE(R$365/SUM(R$362,-R$364,R$365,R$367),S$365/SUM(S$362,-S$364,S$365,S$367),T$365/SUM(T$362,-T$364,T$365,T$367)),T$365/SUM(T$362,-T$364,T$365,T$367))*SUM(Tracks!U$12,Tracks!U$14)</f>
        <v>2.347418921776935</v>
      </c>
      <c r="V365" s="26">
        <f ca="1">IF(V$4=OFFSET(Choices!$B$10,0,$C$1),AVERAGE(S$365/SUM(S$362,-S$364,S$365,S$367),T$365/SUM(T$362,-T$364,T$365,T$367),U$365/SUM(U$362,-U$364,U$365,U$367)),U$365/SUM(U$362,-U$364,U$365,U$367))*SUM(Tracks!V$12,Tracks!V$14)</f>
        <v>2.6026060350686357</v>
      </c>
      <c r="W365" s="26">
        <f ca="1">IF(W$4=OFFSET(Choices!$B$10,0,$C$1),AVERAGE(T$365/SUM(T$362,-T$364,T$365,T$367),U$365/SUM(U$362,-U$364,U$365,U$367),V$365/SUM(V$362,-V$364,V$365,V$367)),V$365/SUM(V$362,-V$364,V$365,V$367))*SUM(Tracks!W$12,Tracks!W$14)</f>
        <v>2.9105007192636081</v>
      </c>
      <c r="X365" s="26">
        <f ca="1">IF(X$4=OFFSET(Choices!$B$10,0,$C$1),AVERAGE(U$365/SUM(U$362,-U$364,U$365,U$367),V$365/SUM(V$362,-V$364,V$365,V$367),W$365/SUM(W$362,-W$364,W$365,W$367)),W$365/SUM(W$362,-W$364,W$365,W$367))*SUM(Tracks!X$12,Tracks!X$14)</f>
        <v>3.2258782873887055</v>
      </c>
      <c r="Y365" s="26">
        <f ca="1">IF(Y$4=OFFSET(Choices!$B$10,0,$C$1),AVERAGE(V$365/SUM(V$362,-V$364,V$365,V$367),W$365/SUM(W$362,-W$364,W$365,W$367),X$365/SUM(X$362,-X$364,X$365,X$367)),X$365/SUM(X$362,-X$364,X$365,X$367))*SUM(Tracks!Y$12,Tracks!Y$14)</f>
        <v>3.5472191061028173</v>
      </c>
      <c r="Z365" s="26">
        <f ca="1">IF(Z$4=OFFSET(Choices!$B$10,0,$C$1),AVERAGE(W$365/SUM(W$362,-W$364,W$365,W$367),X$365/SUM(X$362,-X$364,X$365,X$367),Y$365/SUM(Y$362,-Y$364,Y$365,Y$367)),Y$365/SUM(Y$362,-Y$364,Y$365,Y$367))*SUM(Tracks!Z$12,Tracks!Z$14)</f>
        <v>3.8720806888446475</v>
      </c>
      <c r="AA365" s="26">
        <f ca="1">IF(AA$4=OFFSET(Choices!$B$10,0,$C$1),AVERAGE(X$365/SUM(X$362,-X$364,X$365,X$367),Y$365/SUM(Y$362,-Y$364,Y$365,Y$367),Z$365/SUM(Z$362,-Z$364,Z$365,Z$367)),Z$365/SUM(Z$362,-Z$364,Z$365,Z$367))*SUM(Tracks!AA$12,Tracks!AA$14)</f>
        <v>4.1990436838299878</v>
      </c>
      <c r="AB365" s="26">
        <f ca="1">IF(AB$4=OFFSET(Choices!$B$10,0,$C$1),AVERAGE(Y$365/SUM(Y$362,-Y$364,Y$365,Y$367),Z$365/SUM(Z$362,-Z$364,Z$365,Z$367),AA$365/SUM(AA$362,-AA$364,AA$365,AA$367)),AA$365/SUM(AA$362,-AA$364,AA$365,AA$367))*SUM(Tracks!AB$12,Tracks!AB$14)</f>
        <v>4.5278498873268207</v>
      </c>
      <c r="AC365" s="26">
        <f ca="1">IF(AC$4=OFFSET(Choices!$B$10,0,$C$1),AVERAGE(Z$365/SUM(Z$362,-Z$364,Z$365,Z$367),AA$365/SUM(AA$362,-AA$364,AA$365,AA$367),AB$365/SUM(AB$362,-AB$364,AB$365,AB$367)),AB$365/SUM(AB$362,-AB$364,AB$365,AB$367))*SUM(Tracks!AC$12,Tracks!AC$14)</f>
        <v>4.8595310163046257</v>
      </c>
    </row>
    <row r="366" spans="1:29" x14ac:dyDescent="0.2">
      <c r="A366" s="3" t="s">
        <v>514</v>
      </c>
      <c r="B366" s="4" t="str">
        <f t="shared" si="200"/>
        <v>From Fiscal Forecasts</v>
      </c>
      <c r="F366" s="21">
        <f>'Fiscal Forecasts'!F$372</f>
        <v>2.0490000000000004</v>
      </c>
      <c r="G366" s="21">
        <f>'Fiscal Forecasts'!G$372</f>
        <v>2.1040000000000001</v>
      </c>
      <c r="H366" s="21">
        <f>'Fiscal Forecasts'!H$372</f>
        <v>2.2429999999999999</v>
      </c>
      <c r="I366" s="21">
        <f>'Fiscal Forecasts'!I$372</f>
        <v>0.25</v>
      </c>
      <c r="J366" s="21">
        <f>'Fiscal Forecasts'!J$372</f>
        <v>0</v>
      </c>
      <c r="K366" s="21">
        <f>'Fiscal Forecasts'!K$372</f>
        <v>0</v>
      </c>
      <c r="L366" s="21">
        <f>'Fiscal Forecasts'!L$372</f>
        <v>0</v>
      </c>
      <c r="M366" s="21">
        <f>'Fiscal Forecasts'!M$372</f>
        <v>0</v>
      </c>
      <c r="N366" s="21">
        <f>'Fiscal Forecasts'!N$372</f>
        <v>0</v>
      </c>
      <c r="O366" s="24">
        <f>'Fiscal Forecasts'!O$372</f>
        <v>0</v>
      </c>
      <c r="P366" s="24">
        <f>'Fiscal Forecasts'!P$372</f>
        <v>0</v>
      </c>
      <c r="Q366" s="24">
        <f>'Fiscal Forecasts'!Q$372</f>
        <v>0</v>
      </c>
      <c r="R366" s="24">
        <f>'Fiscal Forecasts'!R$372</f>
        <v>0</v>
      </c>
      <c r="S366" s="24">
        <f>'Fiscal Forecasts'!S$372</f>
        <v>0</v>
      </c>
      <c r="T366" s="26">
        <f>Tracks!T$11</f>
        <v>0</v>
      </c>
      <c r="U366" s="26">
        <f>Tracks!U$11</f>
        <v>0</v>
      </c>
      <c r="V366" s="26">
        <f>Tracks!V$11</f>
        <v>2.7480000000000002</v>
      </c>
      <c r="W366" s="26">
        <f>Tracks!W$11</f>
        <v>2.5680000000000001</v>
      </c>
      <c r="X366" s="26">
        <f>Tracks!X$11</f>
        <v>2.37</v>
      </c>
      <c r="Y366" s="26">
        <f>Tracks!Y$11</f>
        <v>2.12</v>
      </c>
      <c r="Z366" s="26">
        <f>Tracks!Z$11</f>
        <v>1.825</v>
      </c>
      <c r="AA366" s="26">
        <f>Tracks!AA$11</f>
        <v>1.52</v>
      </c>
      <c r="AB366" s="26">
        <f>Tracks!AB$11</f>
        <v>1.212</v>
      </c>
      <c r="AC366" s="26">
        <f>Tracks!AC$11</f>
        <v>0.94099999999999995</v>
      </c>
    </row>
    <row r="367" spans="1:29" x14ac:dyDescent="0.2">
      <c r="A367" s="3" t="s">
        <v>130</v>
      </c>
      <c r="B367" s="4" t="str">
        <f t="shared" si="200"/>
        <v>From Fiscal Forecasts</v>
      </c>
      <c r="F367" s="21">
        <f>'Fiscal Forecasts'!F$373</f>
        <v>-2.5000000000000001E-2</v>
      </c>
      <c r="G367" s="21">
        <f>'Fiscal Forecasts'!G$373</f>
        <v>1.6E-2</v>
      </c>
      <c r="H367" s="21">
        <f>'Fiscal Forecasts'!H$373</f>
        <v>2.5999999999999999E-2</v>
      </c>
      <c r="I367" s="21">
        <f>'Fiscal Forecasts'!I$373</f>
        <v>0.01</v>
      </c>
      <c r="J367" s="21">
        <f>'Fiscal Forecasts'!J$373</f>
        <v>1E-3</v>
      </c>
      <c r="K367" s="21">
        <f>'Fiscal Forecasts'!K$373</f>
        <v>8.0000000000000002E-3</v>
      </c>
      <c r="L367" s="21">
        <f>'Fiscal Forecasts'!L$373</f>
        <v>2.5000000000000001E-2</v>
      </c>
      <c r="M367" s="21">
        <f>'Fiscal Forecasts'!M$373</f>
        <v>-4.0000000000000001E-3</v>
      </c>
      <c r="N367" s="21">
        <f>'Fiscal Forecasts'!N$373</f>
        <v>4.1000000000000002E-2</v>
      </c>
      <c r="O367" s="24">
        <f>'Fiscal Forecasts'!O$373</f>
        <v>6.5000000000000002E-2</v>
      </c>
      <c r="P367" s="24">
        <f>'Fiscal Forecasts'!P$373</f>
        <v>1.9E-2</v>
      </c>
      <c r="Q367" s="24">
        <f>'Fiscal Forecasts'!Q$373</f>
        <v>2.5999999999999999E-2</v>
      </c>
      <c r="R367" s="24">
        <f>'Fiscal Forecasts'!R$373</f>
        <v>3.3000000000000002E-2</v>
      </c>
      <c r="S367" s="24">
        <f>'Fiscal Forecasts'!S$373</f>
        <v>4.1000000000000002E-2</v>
      </c>
      <c r="T367" s="26">
        <f ca="1">IF(T$4=OFFSET(Choices!$B$10,0,$C$1),0,S$367)</f>
        <v>0</v>
      </c>
      <c r="U367" s="26">
        <f ca="1">IF(U$4=OFFSET(Choices!$B$10,0,$C$1),0,T$367)</f>
        <v>0</v>
      </c>
      <c r="V367" s="26">
        <f ca="1">IF(V$4=OFFSET(Choices!$B$10,0,$C$1),0,U$367)</f>
        <v>0</v>
      </c>
      <c r="W367" s="26">
        <f ca="1">IF(W$4=OFFSET(Choices!$B$10,0,$C$1),0,V$367)</f>
        <v>0</v>
      </c>
      <c r="X367" s="26">
        <f ca="1">IF(X$4=OFFSET(Choices!$B$10,0,$C$1),0,W$367)</f>
        <v>0</v>
      </c>
      <c r="Y367" s="26">
        <f ca="1">IF(Y$4=OFFSET(Choices!$B$10,0,$C$1),0,X$367)</f>
        <v>0</v>
      </c>
      <c r="Z367" s="26">
        <f ca="1">IF(Z$4=OFFSET(Choices!$B$10,0,$C$1),0,Y$367)</f>
        <v>0</v>
      </c>
      <c r="AA367" s="26">
        <f ca="1">IF(AA$4=OFFSET(Choices!$B$10,0,$C$1),0,Z$367)</f>
        <v>0</v>
      </c>
      <c r="AB367" s="26">
        <f ca="1">IF(AB$4=OFFSET(Choices!$B$10,0,$C$1),0,AA$367)</f>
        <v>0</v>
      </c>
      <c r="AC367" s="26">
        <f ca="1">IF(AC$4=OFFSET(Choices!$B$10,0,$C$1),0,AB$367)</f>
        <v>0</v>
      </c>
    </row>
    <row r="368" spans="1:29" x14ac:dyDescent="0.2">
      <c r="A368" s="31" t="s">
        <v>507</v>
      </c>
      <c r="E368" s="68">
        <f>'Fiscal Forecasts'!$E$374</f>
        <v>9.8550000000000004</v>
      </c>
      <c r="F368" s="56">
        <f>SUM(E$368,F$362,F$365,F$366,F$367)-SUM(F$363,F$364)</f>
        <v>12.973000000000003</v>
      </c>
      <c r="G368" s="56">
        <f t="shared" ref="G368:AC368" si="201">SUM(F$368,G$362,G$365,G$366,G$367)-SUM(G$363,G$364)</f>
        <v>14.212000000000002</v>
      </c>
      <c r="H368" s="56">
        <f t="shared" si="201"/>
        <v>13.688000000000002</v>
      </c>
      <c r="I368" s="56">
        <f t="shared" si="201"/>
        <v>15.656000000000004</v>
      </c>
      <c r="J368" s="56">
        <f t="shared" si="201"/>
        <v>18.652000000000005</v>
      </c>
      <c r="K368" s="56">
        <f t="shared" si="201"/>
        <v>18.703000000000003</v>
      </c>
      <c r="L368" s="56">
        <f t="shared" si="201"/>
        <v>22.548999999999999</v>
      </c>
      <c r="M368" s="56">
        <f t="shared" si="201"/>
        <v>25.808999999999997</v>
      </c>
      <c r="N368" s="56">
        <f t="shared" si="201"/>
        <v>29.521999999999998</v>
      </c>
      <c r="O368" s="57">
        <f t="shared" si="201"/>
        <v>30.345000000000002</v>
      </c>
      <c r="P368" s="57">
        <f t="shared" si="201"/>
        <v>32.364000000000004</v>
      </c>
      <c r="Q368" s="57">
        <f t="shared" si="201"/>
        <v>34.522000000000006</v>
      </c>
      <c r="R368" s="57">
        <f t="shared" si="201"/>
        <v>36.831000000000003</v>
      </c>
      <c r="S368" s="57">
        <f t="shared" si="201"/>
        <v>39.303000000000004</v>
      </c>
      <c r="T368" s="58">
        <f t="shared" ca="1" si="201"/>
        <v>41.541517961039034</v>
      </c>
      <c r="U368" s="58">
        <f t="shared" ca="1" si="201"/>
        <v>43.97173821249082</v>
      </c>
      <c r="V368" s="58">
        <f t="shared" ca="1" si="201"/>
        <v>49.414146881645898</v>
      </c>
      <c r="W368" s="58">
        <f t="shared" ca="1" si="201"/>
        <v>54.995310712013769</v>
      </c>
      <c r="X368" s="58">
        <f t="shared" ca="1" si="201"/>
        <v>60.704976533909871</v>
      </c>
      <c r="Y368" s="58">
        <f t="shared" ca="1" si="201"/>
        <v>66.497317941749529</v>
      </c>
      <c r="Z368" s="58">
        <f t="shared" ca="1" si="201"/>
        <v>72.330979888702956</v>
      </c>
      <c r="AA368" s="58">
        <f t="shared" ca="1" si="201"/>
        <v>78.198137910863622</v>
      </c>
      <c r="AB368" s="58">
        <f t="shared" ca="1" si="201"/>
        <v>84.097700232882332</v>
      </c>
      <c r="AC368" s="58">
        <f t="shared" ca="1" si="201"/>
        <v>90.069643188493316</v>
      </c>
    </row>
    <row r="369" spans="1:29" x14ac:dyDescent="0.2">
      <c r="A369" s="66" t="s">
        <v>511</v>
      </c>
    </row>
    <row r="370" spans="1:29" x14ac:dyDescent="0.2">
      <c r="A370" s="3" t="s">
        <v>508</v>
      </c>
      <c r="B370" s="4" t="str">
        <f>$B$46</f>
        <v>From Fiscal Forecasts</v>
      </c>
      <c r="F370" s="21">
        <f>'Fiscal Forecasts'!F$375</f>
        <v>12.576000000000001</v>
      </c>
      <c r="G370" s="21">
        <f>'Fiscal Forecasts'!G$375</f>
        <v>13.791</v>
      </c>
      <c r="H370" s="21">
        <f>'Fiscal Forecasts'!H$375</f>
        <v>12.877000000000001</v>
      </c>
      <c r="I370" s="21">
        <f>'Fiscal Forecasts'!I$375</f>
        <v>15.552</v>
      </c>
      <c r="J370" s="21">
        <f>'Fiscal Forecasts'!J$375</f>
        <v>18.687000000000001</v>
      </c>
      <c r="K370" s="21">
        <f>'Fiscal Forecasts'!K$375</f>
        <v>18.815000000000001</v>
      </c>
      <c r="L370" s="21">
        <f>'Fiscal Forecasts'!L$375</f>
        <v>23.419</v>
      </c>
      <c r="M370" s="21">
        <f>'Fiscal Forecasts'!M$375</f>
        <v>26.99</v>
      </c>
      <c r="N370" s="21">
        <f>'Fiscal Forecasts'!N$375</f>
        <v>31.274000000000001</v>
      </c>
      <c r="O370" s="24">
        <f>'Fiscal Forecasts'!O$375</f>
        <v>33.658999999999999</v>
      </c>
      <c r="P370" s="24">
        <f>'Fiscal Forecasts'!P$375</f>
        <v>35.03</v>
      </c>
      <c r="Q370" s="24">
        <f>'Fiscal Forecasts'!Q$375</f>
        <v>37.146999999999998</v>
      </c>
      <c r="R370" s="24">
        <f>'Fiscal Forecasts'!R$375</f>
        <v>39.411000000000001</v>
      </c>
      <c r="S370" s="24">
        <f>'Fiscal Forecasts'!S$375</f>
        <v>41.835000000000001</v>
      </c>
      <c r="T370" s="26">
        <f ca="1">IF(T$4=OFFSET(Choices!$B$10,0,$C$1),AVERAGE(Q$370/Q$368,R$370/R$368,S$370/S$368),S$370/S$368)*T$368</f>
        <v>44.456496215751464</v>
      </c>
      <c r="U370" s="26">
        <f ca="1">IF(U$4=OFFSET(Choices!$B$10,0,$C$1),AVERAGE(R$370/R$368,S$370/S$368,T$370/T$368),T$370/T$368)*U$368</f>
        <v>47.057245603711642</v>
      </c>
      <c r="V370" s="26">
        <f ca="1">IF(V$4=OFFSET(Choices!$B$10,0,$C$1),AVERAGE(S$370/S$368,T$370/T$368,U$370/U$368),U$370/U$368)*V$368</f>
        <v>52.881549391353346</v>
      </c>
      <c r="W370" s="26">
        <f ca="1">IF(W$4=OFFSET(Choices!$B$10,0,$C$1),AVERAGE(T$370/T$368,U$370/U$368,V$370/V$368),V$370/V$368)*W$368</f>
        <v>58.854344823069255</v>
      </c>
      <c r="X370" s="26">
        <f ca="1">IF(X$4=OFFSET(Choices!$B$10,0,$C$1),AVERAGE(U$370/U$368,V$370/V$368,W$370/W$368),W$370/W$368)*X$368</f>
        <v>64.964659261804812</v>
      </c>
      <c r="Y370" s="26">
        <f ca="1">IF(Y$4=OFFSET(Choices!$B$10,0,$C$1),AVERAGE(V$370/V$368,W$370/W$368,X$370/X$368),X$370/X$368)*Y$368</f>
        <v>71.163450652130862</v>
      </c>
      <c r="Z370" s="26">
        <f ca="1">IF(Z$4=OFFSET(Choices!$B$10,0,$C$1),AVERAGE(W$370/W$368,X$370/X$368,Y$370/Y$368),Y$370/Y$368)*Z$368</f>
        <v>77.406462053686823</v>
      </c>
      <c r="AA370" s="26">
        <f ca="1">IF(AA$4=OFFSET(Choices!$B$10,0,$C$1),AVERAGE(X$370/X$368,Y$370/Y$368,Z$370/Z$368),Z$370/Z$368)*AA$368</f>
        <v>83.685319958061712</v>
      </c>
      <c r="AB370" s="26">
        <f ca="1">IF(AB$4=OFFSET(Choices!$B$10,0,$C$1),AVERAGE(Y$370/Y$368,Z$370/Z$368,AA$370/AA$368),AA$370/AA$368)*AB$368</f>
        <v>89.998855979768862</v>
      </c>
      <c r="AC370" s="26">
        <f ca="1">IF(AC$4=OFFSET(Choices!$B$10,0,$C$1),AVERAGE(Z$370/Z$368,AA$370/AA$368,AB$370/AB$368),AB$370/AB$368)*AC$368</f>
        <v>96.389851601445542</v>
      </c>
    </row>
    <row r="371" spans="1:29" x14ac:dyDescent="0.2">
      <c r="A371" s="3" t="s">
        <v>509</v>
      </c>
      <c r="B371" s="4" t="str">
        <f>$B$46</f>
        <v>From Fiscal Forecasts</v>
      </c>
      <c r="F371" s="21">
        <f>'Fiscal Forecasts'!F$376</f>
        <v>0</v>
      </c>
      <c r="G371" s="21">
        <f>'Fiscal Forecasts'!G$376</f>
        <v>0</v>
      </c>
      <c r="H371" s="21">
        <f>'Fiscal Forecasts'!H$376</f>
        <v>0</v>
      </c>
      <c r="I371" s="21">
        <f>'Fiscal Forecasts'!I$376</f>
        <v>0</v>
      </c>
      <c r="J371" s="21">
        <f>'Fiscal Forecasts'!J$376</f>
        <v>-1.161</v>
      </c>
      <c r="K371" s="21">
        <f>'Fiscal Forecasts'!K$376</f>
        <v>-1.3169999999999999</v>
      </c>
      <c r="L371" s="21">
        <f>'Fiscal Forecasts'!L$376</f>
        <v>-2.0550000000000002</v>
      </c>
      <c r="M371" s="21">
        <f>'Fiscal Forecasts'!M$376</f>
        <v>-2.323</v>
      </c>
      <c r="N371" s="21">
        <f>'Fiscal Forecasts'!N$376</f>
        <v>-3.145</v>
      </c>
      <c r="O371" s="24">
        <f>'Fiscal Forecasts'!O$376</f>
        <v>-4.6619999999999999</v>
      </c>
      <c r="P371" s="24">
        <f>'Fiscal Forecasts'!P$376</f>
        <v>-4.1319999999999997</v>
      </c>
      <c r="Q371" s="24">
        <f>'Fiscal Forecasts'!Q$376</f>
        <v>-4.1890000000000001</v>
      </c>
      <c r="R371" s="24">
        <f>'Fiscal Forecasts'!R$376</f>
        <v>-4.25</v>
      </c>
      <c r="S371" s="24">
        <f>'Fiscal Forecasts'!S$376</f>
        <v>-4.3140000000000001</v>
      </c>
      <c r="T371" s="26">
        <f t="shared" ref="T371:AC371" ca="1" si="202">SUM(S$371,T$86-S$86,-(T$427-S$427))</f>
        <v>-4.7980100223476629</v>
      </c>
      <c r="U371" s="26">
        <f t="shared" ca="1" si="202"/>
        <v>-5.0786983961792016</v>
      </c>
      <c r="V371" s="26">
        <f t="shared" ca="1" si="202"/>
        <v>-5.7072919724854136</v>
      </c>
      <c r="W371" s="26">
        <f t="shared" ca="1" si="202"/>
        <v>-6.3519116519969785</v>
      </c>
      <c r="X371" s="26">
        <f t="shared" ca="1" si="202"/>
        <v>-7.0113732023285333</v>
      </c>
      <c r="Y371" s="26">
        <f t="shared" ca="1" si="202"/>
        <v>-7.6803837125785224</v>
      </c>
      <c r="Z371" s="26">
        <f t="shared" ca="1" si="202"/>
        <v>-8.3541667099818007</v>
      </c>
      <c r="AA371" s="26">
        <f t="shared" ca="1" si="202"/>
        <v>-9.031818475606384</v>
      </c>
      <c r="AB371" s="26">
        <f t="shared" ca="1" si="202"/>
        <v>-9.7132129103273019</v>
      </c>
      <c r="AC371" s="26">
        <f t="shared" ca="1" si="202"/>
        <v>-10.40296724671877</v>
      </c>
    </row>
    <row r="372" spans="1:29" x14ac:dyDescent="0.2">
      <c r="A372" s="3" t="s">
        <v>510</v>
      </c>
      <c r="B372" s="4" t="str">
        <f>$B$46</f>
        <v>From Fiscal Forecasts</v>
      </c>
      <c r="F372" s="21">
        <f>'Fiscal Forecasts'!F$377</f>
        <v>0.39700000000000002</v>
      </c>
      <c r="G372" s="21">
        <f>'Fiscal Forecasts'!G$377</f>
        <v>0.42099999999999999</v>
      </c>
      <c r="H372" s="21">
        <f>'Fiscal Forecasts'!H$377</f>
        <v>0.81100000000000005</v>
      </c>
      <c r="I372" s="21">
        <f>'Fiscal Forecasts'!I$377</f>
        <v>0.104</v>
      </c>
      <c r="J372" s="21">
        <f>'Fiscal Forecasts'!J$377</f>
        <v>1.1259999999999999</v>
      </c>
      <c r="K372" s="21">
        <f>'Fiscal Forecasts'!K$377</f>
        <v>1.2050000000000001</v>
      </c>
      <c r="L372" s="21">
        <f>'Fiscal Forecasts'!L$377</f>
        <v>1.1850000000000001</v>
      </c>
      <c r="M372" s="21">
        <f>'Fiscal Forecasts'!M$377</f>
        <v>1.1419999999999999</v>
      </c>
      <c r="N372" s="21">
        <f>'Fiscal Forecasts'!N$377</f>
        <v>1.393</v>
      </c>
      <c r="O372" s="24">
        <f>'Fiscal Forecasts'!O$377</f>
        <v>1.3480000000000001</v>
      </c>
      <c r="P372" s="24">
        <f>'Fiscal Forecasts'!P$377</f>
        <v>1.466</v>
      </c>
      <c r="Q372" s="24">
        <f>'Fiscal Forecasts'!Q$377</f>
        <v>1.5640000000000001</v>
      </c>
      <c r="R372" s="24">
        <f>'Fiscal Forecasts'!R$377</f>
        <v>1.67</v>
      </c>
      <c r="S372" s="24">
        <f>'Fiscal Forecasts'!S$377</f>
        <v>1.782</v>
      </c>
      <c r="T372" s="26">
        <f ca="1">IF(T$4=OFFSET(Choices!$B$10,0,$C$1),AVERAGE(Q$372/Q$368,R$372/R$368,S$372/S$368),S$372/S$368)*T$368</f>
        <v>1.8830317676352186</v>
      </c>
      <c r="U372" s="26">
        <f ca="1">IF(U$4=OFFSET(Choices!$B$10,0,$C$1),AVERAGE(R$372/R$368,S$372/S$368,T$372/T$368),T$372/T$368)*U$368</f>
        <v>1.9931910049583725</v>
      </c>
      <c r="V372" s="26">
        <f ca="1">IF(V$4=OFFSET(Choices!$B$10,0,$C$1),AVERAGE(S$372/S$368,T$372/T$368,U$372/U$368),U$372/U$368)*V$368</f>
        <v>2.2398894627779433</v>
      </c>
      <c r="W372" s="26">
        <f ca="1">IF(W$4=OFFSET(Choices!$B$10,0,$C$1),AVERAGE(T$372/T$368,U$372/U$368,V$372/V$368),V$372/V$368)*W$368</f>
        <v>2.4928775409414814</v>
      </c>
      <c r="X372" s="26">
        <f ca="1">IF(X$4=OFFSET(Choices!$B$10,0,$C$1),AVERAGE(U$372/U$368,V$372/V$368,W$372/W$368),W$372/W$368)*X$368</f>
        <v>2.7516904744335844</v>
      </c>
      <c r="Y372" s="26">
        <f ca="1">IF(Y$4=OFFSET(Choices!$B$10,0,$C$1),AVERAGE(V$372/V$368,W$372/W$368,X$372/X$368),X$372/X$368)*Y$368</f>
        <v>3.0142510021971725</v>
      </c>
      <c r="Z372" s="26">
        <f ca="1">IF(Z$4=OFFSET(Choices!$B$10,0,$C$1),AVERAGE(W$372/W$368,X$372/X$368,Y$372/Y$368),Y$372/Y$368)*Z$368</f>
        <v>3.2786845449979101</v>
      </c>
      <c r="AA372" s="26">
        <f ca="1">IF(AA$4=OFFSET(Choices!$B$10,0,$C$1),AVERAGE(X$372/X$368,Y$372/Y$368,Z$372/Z$368),Z$372/Z$368)*AA$368</f>
        <v>3.5446364284082876</v>
      </c>
      <c r="AB372" s="26">
        <f ca="1">IF(AB$4=OFFSET(Choices!$B$10,0,$C$1),AVERAGE(Y$372/Y$368,Z$372/Z$368,AA$372/AA$368),AA$372/AA$368)*AB$368</f>
        <v>3.8120571634407434</v>
      </c>
      <c r="AC372" s="26">
        <f ca="1">IF(AC$4=OFFSET(Choices!$B$10,0,$C$1),AVERAGE(Z$372/Z$368,AA$372/AA$368,AB$372/AB$368),AB$372/AB$368)*AC$368</f>
        <v>4.0827588337665039</v>
      </c>
    </row>
    <row r="373" spans="1:29" x14ac:dyDescent="0.2">
      <c r="B373" s="4"/>
      <c r="F373" s="21"/>
      <c r="G373" s="21"/>
      <c r="H373" s="21"/>
      <c r="I373" s="21"/>
      <c r="J373" s="21"/>
      <c r="K373" s="21"/>
      <c r="L373" s="21"/>
      <c r="M373" s="21"/>
      <c r="N373" s="21"/>
      <c r="O373" s="24"/>
      <c r="P373" s="24"/>
      <c r="Q373" s="24"/>
      <c r="R373" s="24"/>
      <c r="S373" s="24"/>
      <c r="T373" s="24"/>
      <c r="U373" s="24"/>
      <c r="V373" s="24"/>
      <c r="W373" s="24"/>
      <c r="X373" s="24"/>
      <c r="Y373" s="24"/>
      <c r="Z373" s="24"/>
      <c r="AA373" s="24"/>
      <c r="AB373" s="24"/>
      <c r="AC373" s="24"/>
    </row>
    <row r="374" spans="1:29" x14ac:dyDescent="0.2">
      <c r="A374" s="31" t="s">
        <v>589</v>
      </c>
      <c r="B374" s="4"/>
      <c r="F374" s="21"/>
      <c r="G374" s="21"/>
      <c r="H374" s="21"/>
      <c r="I374" s="21"/>
      <c r="J374" s="21"/>
      <c r="K374" s="21"/>
      <c r="L374" s="21"/>
      <c r="M374" s="21"/>
      <c r="N374" s="21"/>
      <c r="O374" s="24"/>
      <c r="P374" s="24"/>
      <c r="Q374" s="24"/>
      <c r="R374" s="24"/>
      <c r="S374" s="24"/>
      <c r="T374" s="24"/>
      <c r="U374" s="24"/>
      <c r="V374" s="24"/>
      <c r="W374" s="24"/>
      <c r="X374" s="24"/>
      <c r="Y374" s="24"/>
      <c r="Z374" s="24"/>
      <c r="AA374" s="24"/>
      <c r="AB374" s="24"/>
      <c r="AC374" s="24"/>
    </row>
    <row r="375" spans="1:29" x14ac:dyDescent="0.2">
      <c r="A375" s="3" t="s">
        <v>748</v>
      </c>
      <c r="B375" s="4" t="str">
        <f>$B$46</f>
        <v>From Fiscal Forecasts</v>
      </c>
      <c r="F375" s="21">
        <f>'Fiscal Forecasts'!F$397</f>
        <v>11.757</v>
      </c>
      <c r="G375" s="21">
        <f>'Fiscal Forecasts'!G$397</f>
        <v>12.397</v>
      </c>
      <c r="H375" s="21">
        <f>'Fiscal Forecasts'!H$397</f>
        <v>13.695</v>
      </c>
      <c r="I375" s="21">
        <f>'Fiscal Forecasts'!I$397</f>
        <v>16.745000000000001</v>
      </c>
      <c r="J375" s="21">
        <f>'Fiscal Forecasts'!J$397</f>
        <v>20.233000000000001</v>
      </c>
      <c r="K375" s="21">
        <f>'Fiscal Forecasts'!K$397</f>
        <v>23.466000000000001</v>
      </c>
      <c r="L375" s="21">
        <f>'Fiscal Forecasts'!L$397</f>
        <v>27.193000000000001</v>
      </c>
      <c r="M375" s="21">
        <f>'Fiscal Forecasts'!M$397</f>
        <v>29.84</v>
      </c>
      <c r="N375" s="21">
        <f>'Fiscal Forecasts'!N$397</f>
        <v>34.021000000000001</v>
      </c>
      <c r="O375" s="24">
        <f>'Fiscal Forecasts'!O$397</f>
        <v>35.274000000000001</v>
      </c>
      <c r="P375" s="24">
        <f>'Fiscal Forecasts'!P$397</f>
        <v>36.448999999999998</v>
      </c>
      <c r="Q375" s="24">
        <f>'Fiscal Forecasts'!Q$397</f>
        <v>37.730999999999995</v>
      </c>
      <c r="R375" s="24">
        <f>'Fiscal Forecasts'!R$397</f>
        <v>39.095999999999997</v>
      </c>
      <c r="S375" s="24">
        <f>'Fiscal Forecasts'!S$397</f>
        <v>40.516999999999996</v>
      </c>
      <c r="T375" s="26">
        <f>S$375*Tracks!T$34/Tracks!S$34</f>
        <v>42.433500678560719</v>
      </c>
      <c r="U375" s="26">
        <f>T$375*Tracks!U$34/Tracks!T$34</f>
        <v>44.353377803459665</v>
      </c>
      <c r="V375" s="26">
        <f>U$375*Tracks!V$34/Tracks!U$34</f>
        <v>46.308371377675016</v>
      </c>
      <c r="W375" s="26">
        <f>V$375*Tracks!W$34/Tracks!V$34</f>
        <v>48.30324604192819</v>
      </c>
      <c r="X375" s="26">
        <f>W$375*Tracks!X$34/Tracks!W$34</f>
        <v>50.371480618612523</v>
      </c>
      <c r="Y375" s="26">
        <f>X$375*Tracks!Y$34/Tracks!X$34</f>
        <v>52.571649042922132</v>
      </c>
      <c r="Z375" s="26">
        <f>Y$375*Tracks!Z$34/Tracks!Y$34</f>
        <v>54.822720106410912</v>
      </c>
      <c r="AA375" s="26">
        <f>Z$375*Tracks!AA$34/Tracks!Z$34</f>
        <v>57.144487793386467</v>
      </c>
      <c r="AB375" s="26">
        <f>AA$375*Tracks!AB$34/Tracks!AA$34</f>
        <v>59.549480740053824</v>
      </c>
      <c r="AC375" s="26">
        <f>AB$375*Tracks!AC$34/Tracks!AB$34</f>
        <v>62.031024731117803</v>
      </c>
    </row>
    <row r="376" spans="1:29" x14ac:dyDescent="0.2">
      <c r="A376" s="3" t="s">
        <v>749</v>
      </c>
      <c r="B376" s="4" t="str">
        <f>$B$46</f>
        <v>From Fiscal Forecasts</v>
      </c>
      <c r="F376" s="21">
        <f>'Fiscal Forecasts'!F$395</f>
        <v>17.327999999999999</v>
      </c>
      <c r="G376" s="21">
        <f>'Fiscal Forecasts'!G$395</f>
        <v>20.373999999999999</v>
      </c>
      <c r="H376" s="21">
        <f>'Fiscal Forecasts'!H$395</f>
        <v>26.445999999999998</v>
      </c>
      <c r="I376" s="21">
        <f>'Fiscal Forecasts'!I$395</f>
        <v>26.996999999999996</v>
      </c>
      <c r="J376" s="21">
        <f>'Fiscal Forecasts'!J$395</f>
        <v>26.938999999999997</v>
      </c>
      <c r="K376" s="21">
        <f>'Fiscal Forecasts'!K$395</f>
        <v>30.647999999999996</v>
      </c>
      <c r="L376" s="21">
        <f>'Fiscal Forecasts'!L$395</f>
        <v>29.445999999999998</v>
      </c>
      <c r="M376" s="21">
        <f>'Fiscal Forecasts'!M$395</f>
        <v>29.947999999999997</v>
      </c>
      <c r="N376" s="21">
        <f>'Fiscal Forecasts'!N$395</f>
        <v>32.517999999999994</v>
      </c>
      <c r="O376" s="24">
        <f>'Fiscal Forecasts'!O$395</f>
        <v>33.499999999999993</v>
      </c>
      <c r="P376" s="24">
        <f>'Fiscal Forecasts'!P$395</f>
        <v>34.653999999999996</v>
      </c>
      <c r="Q376" s="24">
        <f>'Fiscal Forecasts'!Q$395</f>
        <v>35.825999999999993</v>
      </c>
      <c r="R376" s="24">
        <f>'Fiscal Forecasts'!R$395</f>
        <v>37.067999999999991</v>
      </c>
      <c r="S376" s="24">
        <f>'Fiscal Forecasts'!S$395</f>
        <v>38.383999999999993</v>
      </c>
      <c r="T376" s="26">
        <f>S$376*Tracks!T$35/Tracks!S$35</f>
        <v>40.001539948800463</v>
      </c>
      <c r="U376" s="26">
        <f>T$376*Tracks!U$35/Tracks!T$35</f>
        <v>41.699622737336178</v>
      </c>
      <c r="V376" s="26">
        <f>U$376*Tracks!V$35/Tracks!U$35</f>
        <v>43.475953032520714</v>
      </c>
      <c r="W376" s="26">
        <f>V$376*Tracks!W$35/Tracks!V$35</f>
        <v>45.317849188780222</v>
      </c>
      <c r="X376" s="26">
        <f>W$376*Tracks!X$35/Tracks!W$35</f>
        <v>47.25735007370109</v>
      </c>
      <c r="Y376" s="26">
        <f>X$376*Tracks!Y$35/Tracks!X$35</f>
        <v>49.20609008201491</v>
      </c>
      <c r="Z376" s="26">
        <f>Y$376*Tracks!Z$35/Tracks!Y$35</f>
        <v>51.221546837050369</v>
      </c>
      <c r="AA376" s="26">
        <f>Z$376*Tracks!AA$35/Tracks!Z$35</f>
        <v>53.286347578529877</v>
      </c>
      <c r="AB376" s="26">
        <f>AA$376*Tracks!AB$35/Tracks!AA$35</f>
        <v>55.405251687258065</v>
      </c>
      <c r="AC376" s="26">
        <f>AB$376*Tracks!AC$35/Tracks!AB$35</f>
        <v>57.601593424467808</v>
      </c>
    </row>
    <row r="377" spans="1:29" x14ac:dyDescent="0.2">
      <c r="A377" s="3" t="s">
        <v>750</v>
      </c>
      <c r="B377" s="4"/>
      <c r="F377" s="56">
        <f>F$375-F$376</f>
        <v>-5.5709999999999997</v>
      </c>
      <c r="G377" s="56">
        <f t="shared" ref="G377:AC377" si="203">G$375-G$376</f>
        <v>-7.9769999999999985</v>
      </c>
      <c r="H377" s="56">
        <f t="shared" si="203"/>
        <v>-12.750999999999998</v>
      </c>
      <c r="I377" s="56">
        <f t="shared" si="203"/>
        <v>-10.251999999999995</v>
      </c>
      <c r="J377" s="56">
        <f t="shared" si="203"/>
        <v>-6.705999999999996</v>
      </c>
      <c r="K377" s="56">
        <f t="shared" si="203"/>
        <v>-7.1819999999999951</v>
      </c>
      <c r="L377" s="56">
        <f t="shared" si="203"/>
        <v>-2.2529999999999966</v>
      </c>
      <c r="M377" s="56">
        <f t="shared" si="203"/>
        <v>-0.10799999999999699</v>
      </c>
      <c r="N377" s="56">
        <f t="shared" si="203"/>
        <v>1.5030000000000072</v>
      </c>
      <c r="O377" s="57">
        <f t="shared" si="203"/>
        <v>1.774000000000008</v>
      </c>
      <c r="P377" s="57">
        <f t="shared" si="203"/>
        <v>1.7950000000000017</v>
      </c>
      <c r="Q377" s="57">
        <f t="shared" si="203"/>
        <v>1.9050000000000011</v>
      </c>
      <c r="R377" s="57">
        <f t="shared" si="203"/>
        <v>2.0280000000000058</v>
      </c>
      <c r="S377" s="57">
        <f t="shared" si="203"/>
        <v>2.1330000000000027</v>
      </c>
      <c r="T377" s="58">
        <f t="shared" si="203"/>
        <v>2.4319607297602559</v>
      </c>
      <c r="U377" s="58">
        <f t="shared" si="203"/>
        <v>2.6537550661234874</v>
      </c>
      <c r="V377" s="58">
        <f t="shared" si="203"/>
        <v>2.8324183451543021</v>
      </c>
      <c r="W377" s="58">
        <f t="shared" si="203"/>
        <v>2.985396853147968</v>
      </c>
      <c r="X377" s="58">
        <f t="shared" si="203"/>
        <v>3.1141305449114327</v>
      </c>
      <c r="Y377" s="58">
        <f t="shared" si="203"/>
        <v>3.3655589609072223</v>
      </c>
      <c r="Z377" s="58">
        <f t="shared" si="203"/>
        <v>3.6011732693605438</v>
      </c>
      <c r="AA377" s="58">
        <f t="shared" si="203"/>
        <v>3.85814021485659</v>
      </c>
      <c r="AB377" s="58">
        <f t="shared" si="203"/>
        <v>4.1442290527957582</v>
      </c>
      <c r="AC377" s="58">
        <f t="shared" si="203"/>
        <v>4.4294313066499953</v>
      </c>
    </row>
    <row r="379" spans="1:29" x14ac:dyDescent="0.2">
      <c r="A379" s="31" t="s">
        <v>306</v>
      </c>
    </row>
    <row r="380" spans="1:29" x14ac:dyDescent="0.2">
      <c r="A380" s="3" t="s">
        <v>822</v>
      </c>
      <c r="B380" s="4" t="str">
        <f>$B$46</f>
        <v>From Fiscal Forecasts</v>
      </c>
      <c r="F380" s="21">
        <f>'Fiscal Forecasts'!F$190-F$90</f>
        <v>0</v>
      </c>
      <c r="G380" s="21">
        <f>'Fiscal Forecasts'!G$190-G$90</f>
        <v>1.0000000000012221E-3</v>
      </c>
      <c r="H380" s="21">
        <f>'Fiscal Forecasts'!H$190-H$90</f>
        <v>0</v>
      </c>
      <c r="I380" s="21">
        <f>'Fiscal Forecasts'!I$190-I$90</f>
        <v>0.22099999999999831</v>
      </c>
      <c r="J380" s="21">
        <f>'Fiscal Forecasts'!J$190-J$90</f>
        <v>0.36799999999999855</v>
      </c>
      <c r="K380" s="21">
        <f>'Fiscal Forecasts'!K$190-K$90</f>
        <v>0.25600000000000023</v>
      </c>
      <c r="L380" s="21">
        <f>'Fiscal Forecasts'!L$190-L$90</f>
        <v>0.29300000000000104</v>
      </c>
      <c r="M380" s="21">
        <f>'Fiscal Forecasts'!M$190-M$90</f>
        <v>0.52699999999999925</v>
      </c>
      <c r="N380" s="21">
        <f>'Fiscal Forecasts'!N$190-N$90</f>
        <v>0.96799999999999997</v>
      </c>
      <c r="O380" s="24">
        <f>'Fiscal Forecasts'!O$190-O$90</f>
        <v>1.3250000000000011</v>
      </c>
      <c r="P380" s="24">
        <f>'Fiscal Forecasts'!P$190-P$90</f>
        <v>1.3249999999999993</v>
      </c>
      <c r="Q380" s="24">
        <f>'Fiscal Forecasts'!Q$190-Q$90</f>
        <v>1.3249999999999993</v>
      </c>
      <c r="R380" s="24">
        <f>'Fiscal Forecasts'!R$190-R$90</f>
        <v>1.3249999999999993</v>
      </c>
      <c r="S380" s="24">
        <f>'Fiscal Forecasts'!S$190-S$90</f>
        <v>1.3250000000000011</v>
      </c>
      <c r="T380" s="26">
        <f ca="1">IF(T$4=OFFSET(Choices!$B$10,0,$C$1),AVERAGE(Q$380/Q$368,R$380/R$368,S$380/S$368),S$380/S$368)*T$368</f>
        <v>1.4964485915555885</v>
      </c>
      <c r="U380" s="26">
        <f ca="1">IF(U$4=OFFSET(Choices!$B$10,0,$C$1),AVERAGE(R$380/R$368,S$380/S$368,T$380/T$368),T$380/T$368)*U$368</f>
        <v>1.5839923273397667</v>
      </c>
      <c r="V380" s="26">
        <f ca="1">IF(V$4=OFFSET(Choices!$B$10,0,$C$1),AVERAGE(S$380/S$368,T$380/T$368,U$380/U$368),U$380/U$368)*V$368</f>
        <v>1.7800440170075686</v>
      </c>
      <c r="W380" s="26">
        <f ca="1">IF(W$4=OFFSET(Choices!$B$10,0,$C$1),AVERAGE(T$380/T$368,U$380/U$368,V$380/V$368),V$380/V$368)*W$368</f>
        <v>1.9810940788042535</v>
      </c>
      <c r="X380" s="26">
        <f ca="1">IF(X$4=OFFSET(Choices!$B$10,0,$C$1),AVERAGE(U$380/U$368,V$380/V$368,W$380/W$368),W$380/W$368)*X$368</f>
        <v>2.1867731631709577</v>
      </c>
      <c r="Y380" s="26">
        <f ca="1">IF(Y$4=OFFSET(Choices!$B$10,0,$C$1),AVERAGE(V$380/V$368,W$380/W$368,X$380/X$368),X$380/X$368)*Y$368</f>
        <v>2.3954304671650068</v>
      </c>
      <c r="Z380" s="26">
        <f ca="1">IF(Z$4=OFFSET(Choices!$B$10,0,$C$1),AVERAGE(W$380/W$368,X$380/X$368,Y$380/Y$368),Y$380/Y$368)*Z$368</f>
        <v>2.6055762594376284</v>
      </c>
      <c r="AA380" s="26">
        <f ca="1">IF(AA$4=OFFSET(Choices!$B$10,0,$C$1),AVERAGE(X$380/X$368,Y$380/Y$368,Z$380/Z$368),Z$380/Z$368)*AA$368</f>
        <v>2.816928679609922</v>
      </c>
      <c r="AB380" s="26">
        <f ca="1">IF(AB$4=OFFSET(Choices!$B$10,0,$C$1),AVERAGE(Y$380/Y$368,Z$380/Z$368,AA$380/AA$368),AA$380/AA$368)*AB$368</f>
        <v>3.0294483986981673</v>
      </c>
      <c r="AC380" s="26">
        <f ca="1">IF(AC$4=OFFSET(Choices!$B$10,0,$C$1),AVERAGE(Z$380/Z$368,AA$380/AA$368,AB$380/AB$368),AB$380/AB$368)*AC$368</f>
        <v>3.2445754827194095</v>
      </c>
    </row>
    <row r="381" spans="1:29" x14ac:dyDescent="0.2">
      <c r="A381" s="3" t="s">
        <v>660</v>
      </c>
      <c r="F381" s="21">
        <f>F$395</f>
        <v>6.0110000000000001</v>
      </c>
      <c r="G381" s="21">
        <f t="shared" ref="G381:AC381" si="204">G$395</f>
        <v>6.7409999999999997</v>
      </c>
      <c r="H381" s="21">
        <f t="shared" si="204"/>
        <v>6.552999999999999</v>
      </c>
      <c r="I381" s="21">
        <f t="shared" si="204"/>
        <v>6.79</v>
      </c>
      <c r="J381" s="21">
        <f t="shared" si="204"/>
        <v>7.4599999999999982</v>
      </c>
      <c r="K381" s="21">
        <f t="shared" si="204"/>
        <v>8.2909999999999968</v>
      </c>
      <c r="L381" s="21">
        <f t="shared" si="204"/>
        <v>8.2879999999999967</v>
      </c>
      <c r="M381" s="21">
        <f t="shared" si="204"/>
        <v>8.7159999999999958</v>
      </c>
      <c r="N381" s="21">
        <f t="shared" si="204"/>
        <v>8.8639999999999937</v>
      </c>
      <c r="O381" s="24">
        <f t="shared" si="204"/>
        <v>9.117999999999995</v>
      </c>
      <c r="P381" s="24">
        <f t="shared" si="204"/>
        <v>9.3329999999999931</v>
      </c>
      <c r="Q381" s="24">
        <f t="shared" si="204"/>
        <v>9.5069999999999926</v>
      </c>
      <c r="R381" s="24">
        <f t="shared" si="204"/>
        <v>9.6069999999999922</v>
      </c>
      <c r="S381" s="24">
        <f t="shared" si="204"/>
        <v>9.6829999999999927</v>
      </c>
      <c r="T381" s="26">
        <f t="shared" ca="1" si="204"/>
        <v>9.8749999999999929</v>
      </c>
      <c r="U381" s="26">
        <f t="shared" ca="1" si="204"/>
        <v>10.064999999999994</v>
      </c>
      <c r="V381" s="26">
        <f t="shared" ca="1" si="204"/>
        <v>10.250999999999992</v>
      </c>
      <c r="W381" s="26">
        <f t="shared" ca="1" si="204"/>
        <v>10.443999999999992</v>
      </c>
      <c r="X381" s="26">
        <f t="shared" ca="1" si="204"/>
        <v>10.637999999999993</v>
      </c>
      <c r="Y381" s="26">
        <f t="shared" ca="1" si="204"/>
        <v>10.839999999999993</v>
      </c>
      <c r="Z381" s="26">
        <f t="shared" ca="1" si="204"/>
        <v>11.053999999999993</v>
      </c>
      <c r="AA381" s="26">
        <f t="shared" ca="1" si="204"/>
        <v>11.278999999999995</v>
      </c>
      <c r="AB381" s="26">
        <f t="shared" ca="1" si="204"/>
        <v>11.512999999999996</v>
      </c>
      <c r="AC381" s="26">
        <f t="shared" ca="1" si="204"/>
        <v>11.754999999999995</v>
      </c>
    </row>
    <row r="382" spans="1:29" x14ac:dyDescent="0.2">
      <c r="A382" s="3" t="s">
        <v>661</v>
      </c>
      <c r="F382" s="21">
        <f t="shared" ref="F382:S382" si="205">F$90-F$395</f>
        <v>3.0759999999999996</v>
      </c>
      <c r="G382" s="21">
        <f t="shared" si="205"/>
        <v>3.5359999999999996</v>
      </c>
      <c r="H382" s="21">
        <f t="shared" si="205"/>
        <v>3.8760000000000012</v>
      </c>
      <c r="I382" s="21">
        <f t="shared" si="205"/>
        <v>4.0770000000000008</v>
      </c>
      <c r="J382" s="21">
        <f t="shared" si="205"/>
        <v>4.6190000000000024</v>
      </c>
      <c r="K382" s="21">
        <f t="shared" si="205"/>
        <v>5.033000000000003</v>
      </c>
      <c r="L382" s="21">
        <f t="shared" si="205"/>
        <v>4.8380000000000027</v>
      </c>
      <c r="M382" s="21">
        <f t="shared" si="205"/>
        <v>5.0370000000000044</v>
      </c>
      <c r="N382" s="21">
        <f t="shared" si="205"/>
        <v>5.2760000000000069</v>
      </c>
      <c r="O382" s="24">
        <f t="shared" si="205"/>
        <v>5.4950000000000045</v>
      </c>
      <c r="P382" s="24">
        <f t="shared" si="205"/>
        <v>5.6590000000000078</v>
      </c>
      <c r="Q382" s="24">
        <f t="shared" si="205"/>
        <v>5.7780000000000076</v>
      </c>
      <c r="R382" s="24">
        <f t="shared" si="205"/>
        <v>5.9020000000000081</v>
      </c>
      <c r="S382" s="24">
        <f t="shared" si="205"/>
        <v>5.8710000000000075</v>
      </c>
      <c r="T382" s="26">
        <f ca="1">(S$382/S$11+IF(T$1&gt;0,T$1*IF(T$4=OFFSET(Choices!$B$10,0,$C$1),SUMPRODUCT(OFFSET(S$382,0,0,1,-OFFSET(Choices!$B$59,0,$C$1)),OFFSET(S$13,0,0,1,-OFFSET(Choices!$B$59,0,$C$1)))/OFFSET(Choices!$B$59,0,$C$1)-S$382/S$11,(S$382/S$11-R$382/R$11)/S$1),0))*T$11</f>
        <v>6.2139905006149636</v>
      </c>
      <c r="U382" s="26">
        <f ca="1">(T$382/T$11+IF(U$1&gt;0,U$1*IF(U$4=OFFSET(Choices!$B$10,0,$C$1),SUMPRODUCT(OFFSET(T$382,0,0,1,-OFFSET(Choices!$B$59,0,$C$1)),OFFSET(T$13,0,0,1,-OFFSET(Choices!$B$59,0,$C$1)))/OFFSET(Choices!$B$59,0,$C$1)-T$382/T$11,(T$382/T$11-S$382/S$11)/T$1),0))*U$11</f>
        <v>6.5581721613986286</v>
      </c>
      <c r="V382" s="26">
        <f ca="1">(U$382/U$11+IF(V$1&gt;0,V$1*IF(V$4=OFFSET(Choices!$B$10,0,$C$1),SUMPRODUCT(OFFSET(U$382,0,0,1,-OFFSET(Choices!$B$59,0,$C$1)),OFFSET(U$13,0,0,1,-OFFSET(Choices!$B$59,0,$C$1)))/OFFSET(Choices!$B$59,0,$C$1)-U$382/U$11,(U$382/U$11-T$382/T$11)/U$1),0))*V$11</f>
        <v>6.9064184684448087</v>
      </c>
      <c r="W382" s="26">
        <f ca="1">(V$382/V$11+IF(W$1&gt;0,W$1*IF(W$4=OFFSET(Choices!$B$10,0,$C$1),SUMPRODUCT(OFFSET(V$382,0,0,1,-OFFSET(Choices!$B$59,0,$C$1)),OFFSET(V$13,0,0,1,-OFFSET(Choices!$B$59,0,$C$1)))/OFFSET(Choices!$B$59,0,$C$1)-V$382/V$11,(V$382/V$11-U$382/U$11)/V$1),0))*W$11</f>
        <v>7.2516581769879878</v>
      </c>
      <c r="X382" s="26">
        <f ca="1">(W$382/W$11+IF(X$1&gt;0,X$1*IF(X$4=OFFSET(Choices!$B$10,0,$C$1),SUMPRODUCT(OFFSET(W$382,0,0,1,-OFFSET(Choices!$B$59,0,$C$1)),OFFSET(W$13,0,0,1,-OFFSET(Choices!$B$59,0,$C$1)))/OFFSET(Choices!$B$59,0,$C$1)-W$382/W$11,(W$382/W$11-V$382/V$11)/W$1),0))*X$11</f>
        <v>7.5933392429590931</v>
      </c>
      <c r="Y382" s="26">
        <f ca="1">(X$382/X$11+IF(Y$1&gt;0,Y$1*IF(Y$4=OFFSET(Choices!$B$10,0,$C$1),SUMPRODUCT(OFFSET(X$382,0,0,1,-OFFSET(Choices!$B$59,0,$C$1)),OFFSET(X$13,0,0,1,-OFFSET(Choices!$B$59,0,$C$1)))/OFFSET(Choices!$B$59,0,$C$1)-X$382/X$11,(X$382/X$11-W$382/W$11)/X$1),0))*Y$11</f>
        <v>7.9267123217306494</v>
      </c>
      <c r="Z382" s="26">
        <f ca="1">(Y$382/Y$11+IF(Z$1&gt;0,Z$1*IF(Z$4=OFFSET(Choices!$B$10,0,$C$1),SUMPRODUCT(OFFSET(Y$382,0,0,1,-OFFSET(Choices!$B$59,0,$C$1)),OFFSET(Y$13,0,0,1,-OFFSET(Choices!$B$59,0,$C$1)))/OFFSET(Choices!$B$59,0,$C$1)-Y$382/Y$11,(Y$382/Y$11-X$382/X$11)/Y$1),0))*Z$11</f>
        <v>8.2698473995519723</v>
      </c>
      <c r="AA382" s="26">
        <f ca="1">(Z$382/Z$11+IF(AA$1&gt;0,AA$1*IF(AA$4=OFFSET(Choices!$B$10,0,$C$1),SUMPRODUCT(OFFSET(Z$382,0,0,1,-OFFSET(Choices!$B$59,0,$C$1)),OFFSET(Z$13,0,0,1,-OFFSET(Choices!$B$59,0,$C$1)))/OFFSET(Choices!$B$59,0,$C$1)-Z$382/Z$11,(Z$382/Z$11-Y$382/Y$11)/Z$1),0))*AA$11</f>
        <v>8.622985890583994</v>
      </c>
      <c r="AB382" s="26">
        <f ca="1">(AA$382/AA$11+IF(AB$1&gt;0,AB$1*IF(AB$4=OFFSET(Choices!$B$10,0,$C$1),SUMPRODUCT(OFFSET(AA$382,0,0,1,-OFFSET(Choices!$B$59,0,$C$1)),OFFSET(AA$13,0,0,1,-OFFSET(Choices!$B$59,0,$C$1)))/OFFSET(Choices!$B$59,0,$C$1)-AA$382/AA$11,(AA$382/AA$11-Z$382/Z$11)/AA$1),0))*AB$11</f>
        <v>8.9847641407683305</v>
      </c>
      <c r="AC382" s="26">
        <f ca="1">(AB$382/AB$11+IF(AC$1&gt;0,AC$1*IF(AC$4=OFFSET(Choices!$B$10,0,$C$1),SUMPRODUCT(OFFSET(AB$382,0,0,1,-OFFSET(Choices!$B$59,0,$C$1)),OFFSET(AB$13,0,0,1,-OFFSET(Choices!$B$59,0,$C$1)))/OFFSET(Choices!$B$59,0,$C$1)-AB$382/AB$11,(AB$382/AB$11-AA$382/AA$11)/AB$1),0))*AC$11</f>
        <v>9.3570676344242294</v>
      </c>
    </row>
    <row r="383" spans="1:29" x14ac:dyDescent="0.2">
      <c r="A383" s="31" t="s">
        <v>624</v>
      </c>
      <c r="F383" s="56">
        <f>SUM(F$380:F$382)</f>
        <v>9.0869999999999997</v>
      </c>
      <c r="G383" s="56">
        <f t="shared" ref="G383:AC383" si="206">SUM(G$380:G$382)</f>
        <v>10.278</v>
      </c>
      <c r="H383" s="56">
        <f t="shared" si="206"/>
        <v>10.429</v>
      </c>
      <c r="I383" s="56">
        <f t="shared" si="206"/>
        <v>11.087999999999999</v>
      </c>
      <c r="J383" s="56">
        <f t="shared" si="206"/>
        <v>12.446999999999999</v>
      </c>
      <c r="K383" s="56">
        <f t="shared" si="206"/>
        <v>13.58</v>
      </c>
      <c r="L383" s="56">
        <f t="shared" si="206"/>
        <v>13.419</v>
      </c>
      <c r="M383" s="56">
        <f t="shared" si="206"/>
        <v>14.28</v>
      </c>
      <c r="N383" s="56">
        <f t="shared" si="206"/>
        <v>15.108000000000001</v>
      </c>
      <c r="O383" s="57">
        <f t="shared" si="206"/>
        <v>15.938000000000001</v>
      </c>
      <c r="P383" s="57">
        <f t="shared" si="206"/>
        <v>16.317</v>
      </c>
      <c r="Q383" s="57">
        <f t="shared" si="206"/>
        <v>16.61</v>
      </c>
      <c r="R383" s="57">
        <f t="shared" si="206"/>
        <v>16.834</v>
      </c>
      <c r="S383" s="57">
        <f t="shared" si="206"/>
        <v>16.879000000000001</v>
      </c>
      <c r="T383" s="58">
        <f t="shared" ca="1" si="206"/>
        <v>17.585439092170546</v>
      </c>
      <c r="U383" s="58">
        <f t="shared" ca="1" si="206"/>
        <v>18.207164488738389</v>
      </c>
      <c r="V383" s="58">
        <f t="shared" ca="1" si="206"/>
        <v>18.937462485452372</v>
      </c>
      <c r="W383" s="58">
        <f t="shared" ca="1" si="206"/>
        <v>19.676752255792234</v>
      </c>
      <c r="X383" s="58">
        <f t="shared" ca="1" si="206"/>
        <v>20.418112406130042</v>
      </c>
      <c r="Y383" s="58">
        <f t="shared" ca="1" si="206"/>
        <v>21.16214278889565</v>
      </c>
      <c r="Z383" s="58">
        <f t="shared" ca="1" si="206"/>
        <v>21.929423658989592</v>
      </c>
      <c r="AA383" s="58">
        <f t="shared" ca="1" si="206"/>
        <v>22.71891457019391</v>
      </c>
      <c r="AB383" s="58">
        <f t="shared" ca="1" si="206"/>
        <v>23.527212539466493</v>
      </c>
      <c r="AC383" s="58">
        <f t="shared" ca="1" si="206"/>
        <v>24.356643117143634</v>
      </c>
    </row>
    <row r="384" spans="1:29" x14ac:dyDescent="0.2">
      <c r="A384" s="3" t="s">
        <v>662</v>
      </c>
      <c r="B384" s="4" t="str">
        <f>$B$46</f>
        <v>From Fiscal Forecasts</v>
      </c>
      <c r="F384" s="21">
        <f>'Fiscal Forecasts'!F$309</f>
        <v>3.637</v>
      </c>
      <c r="G384" s="21">
        <f>'Fiscal Forecasts'!G$309</f>
        <v>5.5810000000000004</v>
      </c>
      <c r="H384" s="21">
        <f>'Fiscal Forecasts'!H$309</f>
        <v>8.4920000000000009</v>
      </c>
      <c r="I384" s="21">
        <f>'Fiscal Forecasts'!I$309</f>
        <v>10.419</v>
      </c>
      <c r="J384" s="21">
        <f>'Fiscal Forecasts'!J$309</f>
        <v>11.494999999999999</v>
      </c>
      <c r="K384" s="21">
        <f>'Fiscal Forecasts'!K$309</f>
        <v>12.445</v>
      </c>
      <c r="L384" s="21">
        <f>'Fiscal Forecasts'!L$309</f>
        <v>13.202</v>
      </c>
      <c r="M384" s="21">
        <f>'Fiscal Forecasts'!M$309</f>
        <v>14.63</v>
      </c>
      <c r="N384" s="21">
        <f>'Fiscal Forecasts'!N$309</f>
        <v>15.598000000000001</v>
      </c>
      <c r="O384" s="24">
        <f>'Fiscal Forecasts'!O$309</f>
        <v>16.64</v>
      </c>
      <c r="P384" s="24">
        <f>'Fiscal Forecasts'!P$309</f>
        <v>17.753</v>
      </c>
      <c r="Q384" s="24">
        <f>'Fiscal Forecasts'!Q$309</f>
        <v>18.959</v>
      </c>
      <c r="R384" s="24">
        <f>'Fiscal Forecasts'!R$309</f>
        <v>20.207999999999998</v>
      </c>
      <c r="S384" s="24">
        <f>'Fiscal Forecasts'!S$309</f>
        <v>21.507000000000001</v>
      </c>
      <c r="T384" s="26">
        <f t="shared" ref="T384:AC384" ca="1" si="207">S$384*T$11/S$11</f>
        <v>22.462182914832098</v>
      </c>
      <c r="U384" s="26">
        <f t="shared" ca="1" si="207"/>
        <v>23.457944762128278</v>
      </c>
      <c r="V384" s="26">
        <f t="shared" ca="1" si="207"/>
        <v>24.510981709311817</v>
      </c>
      <c r="W384" s="26">
        <f t="shared" ca="1" si="207"/>
        <v>25.603162581545426</v>
      </c>
      <c r="X384" s="26">
        <f t="shared" ca="1" si="207"/>
        <v>26.740387178832449</v>
      </c>
      <c r="Y384" s="26">
        <f t="shared" ca="1" si="207"/>
        <v>27.914379926439086</v>
      </c>
      <c r="Z384" s="26">
        <f t="shared" ca="1" si="207"/>
        <v>29.122750123265075</v>
      </c>
      <c r="AA384" s="26">
        <f t="shared" ca="1" si="207"/>
        <v>30.366347923363495</v>
      </c>
      <c r="AB384" s="26">
        <f t="shared" ca="1" si="207"/>
        <v>31.640371139405094</v>
      </c>
      <c r="AC384" s="26">
        <f t="shared" ca="1" si="207"/>
        <v>32.951459614429041</v>
      </c>
    </row>
    <row r="385" spans="1:29" x14ac:dyDescent="0.2">
      <c r="A385" s="3" t="s">
        <v>664</v>
      </c>
      <c r="B385" s="4" t="str">
        <f>$B$46</f>
        <v>From Fiscal Forecasts</v>
      </c>
      <c r="F385" s="21">
        <f>'Fiscal Forecasts'!F$117-SUM(F$383:F$384)</f>
        <v>-1.9960000000000004</v>
      </c>
      <c r="G385" s="21">
        <f>'Fiscal Forecasts'!G$117-SUM(G$383:G$384)</f>
        <v>-2.9110000000000014</v>
      </c>
      <c r="H385" s="21">
        <f>'Fiscal Forecasts'!H$117-SUM(H$383:H$384)</f>
        <v>-3.3170000000000002</v>
      </c>
      <c r="I385" s="21">
        <f>'Fiscal Forecasts'!I$117-SUM(I$383:I$384)</f>
        <v>-3.0599999999999987</v>
      </c>
      <c r="J385" s="21">
        <f>'Fiscal Forecasts'!J$117-SUM(J$383:J$384)</f>
        <v>-3.375</v>
      </c>
      <c r="K385" s="21">
        <f>'Fiscal Forecasts'!K$117-SUM(K$383:K$384)</f>
        <v>-4.2590000000000003</v>
      </c>
      <c r="L385" s="21">
        <f>'Fiscal Forecasts'!L$117-SUM(L$383:L$384)</f>
        <v>-4.0080000000000027</v>
      </c>
      <c r="M385" s="21">
        <f>'Fiscal Forecasts'!M$117-SUM(M$383:M$384)</f>
        <v>-4.1539999999999999</v>
      </c>
      <c r="N385" s="21">
        <f>'Fiscal Forecasts'!N$117-SUM(N$383:N$384)</f>
        <v>-4.2090000000000032</v>
      </c>
      <c r="O385" s="24">
        <f>'Fiscal Forecasts'!O$117-SUM(O$383:O$384)</f>
        <v>-4.4910000000000032</v>
      </c>
      <c r="P385" s="24">
        <f>'Fiscal Forecasts'!P$117-SUM(P$383:P$384)</f>
        <v>-4.6739999999999995</v>
      </c>
      <c r="Q385" s="24">
        <f>'Fiscal Forecasts'!Q$117-SUM(Q$383:Q$384)</f>
        <v>-4.7790000000000035</v>
      </c>
      <c r="R385" s="24">
        <f>'Fiscal Forecasts'!R$117-SUM(R$383:R$384)</f>
        <v>-4.8840000000000003</v>
      </c>
      <c r="S385" s="24">
        <f>'Fiscal Forecasts'!S$117-SUM(S$383:S$384)</f>
        <v>-4.8430000000000035</v>
      </c>
      <c r="T385" s="26">
        <f t="shared" ref="T385:AC385" ca="1" si="208">S$385*T$384/S$384</f>
        <v>-5.058090475497834</v>
      </c>
      <c r="U385" s="26">
        <f t="shared" ca="1" si="208"/>
        <v>-5.2823186164033711</v>
      </c>
      <c r="V385" s="26">
        <f t="shared" ca="1" si="208"/>
        <v>-5.5194441074160592</v>
      </c>
      <c r="W385" s="26">
        <f t="shared" ca="1" si="208"/>
        <v>-5.7653841252812832</v>
      </c>
      <c r="X385" s="26">
        <f t="shared" ca="1" si="208"/>
        <v>-6.0214672017057529</v>
      </c>
      <c r="Y385" s="26">
        <f t="shared" ca="1" si="208"/>
        <v>-6.2858298220925555</v>
      </c>
      <c r="Z385" s="26">
        <f t="shared" ca="1" si="208"/>
        <v>-6.5579336423942376</v>
      </c>
      <c r="AA385" s="26">
        <f t="shared" ca="1" si="208"/>
        <v>-6.8379701024247694</v>
      </c>
      <c r="AB385" s="26">
        <f t="shared" ca="1" si="208"/>
        <v>-7.1248578336420225</v>
      </c>
      <c r="AC385" s="26">
        <f t="shared" ca="1" si="208"/>
        <v>-7.4200920124926748</v>
      </c>
    </row>
    <row r="386" spans="1:29" x14ac:dyDescent="0.2">
      <c r="A386" s="31" t="s">
        <v>663</v>
      </c>
      <c r="F386" s="56">
        <f>SUM(F$383:F$385)</f>
        <v>10.728</v>
      </c>
      <c r="G386" s="56">
        <f t="shared" ref="G386:AC386" si="209">SUM(G$383:G$385)</f>
        <v>12.948</v>
      </c>
      <c r="H386" s="56">
        <f t="shared" si="209"/>
        <v>15.603999999999999</v>
      </c>
      <c r="I386" s="56">
        <f t="shared" si="209"/>
        <v>18.446999999999999</v>
      </c>
      <c r="J386" s="56">
        <f t="shared" si="209"/>
        <v>20.567</v>
      </c>
      <c r="K386" s="56">
        <f t="shared" si="209"/>
        <v>21.765999999999998</v>
      </c>
      <c r="L386" s="56">
        <f t="shared" si="209"/>
        <v>22.613</v>
      </c>
      <c r="M386" s="56">
        <f t="shared" si="209"/>
        <v>24.756</v>
      </c>
      <c r="N386" s="56">
        <f t="shared" si="209"/>
        <v>26.497</v>
      </c>
      <c r="O386" s="57">
        <f t="shared" si="209"/>
        <v>28.087</v>
      </c>
      <c r="P386" s="57">
        <f t="shared" si="209"/>
        <v>29.396000000000001</v>
      </c>
      <c r="Q386" s="57">
        <f t="shared" si="209"/>
        <v>30.79</v>
      </c>
      <c r="R386" s="57">
        <f t="shared" si="209"/>
        <v>32.158000000000001</v>
      </c>
      <c r="S386" s="57">
        <f t="shared" si="209"/>
        <v>33.542999999999999</v>
      </c>
      <c r="T386" s="58">
        <f t="shared" ca="1" si="209"/>
        <v>34.989531531504809</v>
      </c>
      <c r="U386" s="58">
        <f t="shared" ca="1" si="209"/>
        <v>36.382790634463291</v>
      </c>
      <c r="V386" s="58">
        <f t="shared" ca="1" si="209"/>
        <v>37.929000087348136</v>
      </c>
      <c r="W386" s="58">
        <f t="shared" ca="1" si="209"/>
        <v>39.51453071205637</v>
      </c>
      <c r="X386" s="58">
        <f t="shared" ca="1" si="209"/>
        <v>41.137032383256738</v>
      </c>
      <c r="Y386" s="58">
        <f t="shared" ca="1" si="209"/>
        <v>42.790692893242181</v>
      </c>
      <c r="Z386" s="58">
        <f t="shared" ca="1" si="209"/>
        <v>44.49424013986043</v>
      </c>
      <c r="AA386" s="58">
        <f t="shared" ca="1" si="209"/>
        <v>46.247292391132639</v>
      </c>
      <c r="AB386" s="58">
        <f t="shared" ca="1" si="209"/>
        <v>48.042725845229562</v>
      </c>
      <c r="AC386" s="58">
        <f t="shared" ca="1" si="209"/>
        <v>49.88801071908</v>
      </c>
    </row>
    <row r="388" spans="1:29" x14ac:dyDescent="0.2">
      <c r="A388" s="31" t="s">
        <v>31</v>
      </c>
    </row>
    <row r="389" spans="1:29" x14ac:dyDescent="0.2">
      <c r="A389" s="3" t="s">
        <v>515</v>
      </c>
      <c r="B389" s="4" t="str">
        <f t="shared" ref="B389:B394" si="210">$B$46</f>
        <v>From Fiscal Forecasts</v>
      </c>
      <c r="F389" s="21">
        <f>'Fiscal Forecasts'!F$334</f>
        <v>1.1759999999999999</v>
      </c>
      <c r="G389" s="21">
        <f>'Fiscal Forecasts'!G$334</f>
        <v>1.2010000000000001</v>
      </c>
      <c r="H389" s="21">
        <f>'Fiscal Forecasts'!H$334</f>
        <v>1.35</v>
      </c>
      <c r="I389" s="21">
        <f>'Fiscal Forecasts'!I$334</f>
        <v>1.5249999999999999</v>
      </c>
      <c r="J389" s="21">
        <f>'Fiscal Forecasts'!J$334</f>
        <v>1.5640000000000001</v>
      </c>
      <c r="K389" s="21">
        <f>'Fiscal Forecasts'!K$334</f>
        <v>1.5860000000000001</v>
      </c>
      <c r="L389" s="21">
        <f>'Fiscal Forecasts'!L$334</f>
        <v>1.4810000000000001</v>
      </c>
      <c r="M389" s="21">
        <f>'Fiscal Forecasts'!M$334</f>
        <v>1.512</v>
      </c>
      <c r="N389" s="21">
        <f>'Fiscal Forecasts'!N$334</f>
        <v>1.518</v>
      </c>
      <c r="O389" s="24">
        <f>'Fiscal Forecasts'!O$334</f>
        <v>1.595</v>
      </c>
      <c r="P389" s="24">
        <f>'Fiscal Forecasts'!P$334</f>
        <v>1.629</v>
      </c>
      <c r="Q389" s="24">
        <f>'Fiscal Forecasts'!Q$334</f>
        <v>1.641</v>
      </c>
      <c r="R389" s="24">
        <f>'Fiscal Forecasts'!R$334</f>
        <v>1.649</v>
      </c>
      <c r="S389" s="24">
        <f>'Fiscal Forecasts'!S$334</f>
        <v>1.6910000000000001</v>
      </c>
      <c r="T389" s="26">
        <f>SUM(Tracks!T$19,Tracks!T$24)</f>
        <v>1.7410000000000001</v>
      </c>
      <c r="U389" s="26">
        <f>SUM(Tracks!U$19,Tracks!U$24)</f>
        <v>1.7910000000000001</v>
      </c>
      <c r="V389" s="26">
        <f>SUM(Tracks!V$19,Tracks!V$24)</f>
        <v>1.8470000000000002</v>
      </c>
      <c r="W389" s="26">
        <f>SUM(Tracks!W$19,Tracks!W$24)</f>
        <v>1.9070000000000003</v>
      </c>
      <c r="X389" s="26">
        <f>SUM(Tracks!X$19,Tracks!X$24)</f>
        <v>1.9680000000000002</v>
      </c>
      <c r="Y389" s="26">
        <f>SUM(Tracks!Y$19,Tracks!Y$24)</f>
        <v>2.0310000000000001</v>
      </c>
      <c r="Z389" s="26">
        <f>SUM(Tracks!Z$19,Tracks!Z$24)</f>
        <v>2.0980000000000003</v>
      </c>
      <c r="AA389" s="26">
        <f>SUM(Tracks!AA$19,Tracks!AA$24)</f>
        <v>2.1670000000000003</v>
      </c>
      <c r="AB389" s="26">
        <f>SUM(Tracks!AB$19,Tracks!AB$24)</f>
        <v>2.2330000000000001</v>
      </c>
      <c r="AC389" s="26">
        <f>SUM(Tracks!AC$19,Tracks!AC$24)</f>
        <v>2.2989999999999999</v>
      </c>
    </row>
    <row r="390" spans="1:29" x14ac:dyDescent="0.2">
      <c r="A390" s="3" t="s">
        <v>516</v>
      </c>
      <c r="B390" s="4" t="str">
        <f t="shared" si="210"/>
        <v>From Fiscal Forecasts</v>
      </c>
      <c r="F390" s="21">
        <f>'Fiscal Forecasts'!F$335</f>
        <v>-0.48799999999999999</v>
      </c>
      <c r="G390" s="21">
        <f>'Fiscal Forecasts'!G$335</f>
        <v>-0.48699999999999999</v>
      </c>
      <c r="H390" s="21">
        <f>'Fiscal Forecasts'!H$335</f>
        <v>-0.53200000000000003</v>
      </c>
      <c r="I390" s="21">
        <f>'Fiscal Forecasts'!I$335</f>
        <v>-0.72799999999999998</v>
      </c>
      <c r="J390" s="21">
        <f>'Fiscal Forecasts'!J$335</f>
        <v>-0.71299999999999997</v>
      </c>
      <c r="K390" s="21">
        <f>'Fiscal Forecasts'!K$335</f>
        <v>-0.70099999999999996</v>
      </c>
      <c r="L390" s="21">
        <f>'Fiscal Forecasts'!L$335</f>
        <v>-0.53600000000000003</v>
      </c>
      <c r="M390" s="21">
        <f>'Fiscal Forecasts'!M$335</f>
        <v>-0.63</v>
      </c>
      <c r="N390" s="21">
        <f>'Fiscal Forecasts'!N$335</f>
        <v>-0.60199999999999998</v>
      </c>
      <c r="O390" s="24">
        <f>'Fiscal Forecasts'!O$335</f>
        <v>-0.67700000000000005</v>
      </c>
      <c r="P390" s="24">
        <f>'Fiscal Forecasts'!P$335</f>
        <v>-0.68500000000000005</v>
      </c>
      <c r="Q390" s="24">
        <f>'Fiscal Forecasts'!Q$335</f>
        <v>-0.69</v>
      </c>
      <c r="R390" s="24">
        <f>'Fiscal Forecasts'!R$335</f>
        <v>-0.69299999999999995</v>
      </c>
      <c r="S390" s="24">
        <f>'Fiscal Forecasts'!S$335</f>
        <v>-0.71099999999999997</v>
      </c>
      <c r="T390" s="26">
        <f>Tracks!T$20</f>
        <v>-0.71599999999999997</v>
      </c>
      <c r="U390" s="26">
        <f>Tracks!U$20</f>
        <v>-0.72799999999999998</v>
      </c>
      <c r="V390" s="26">
        <f>Tracks!V$20</f>
        <v>-0.74299999999999999</v>
      </c>
      <c r="W390" s="26">
        <f>Tracks!W$20</f>
        <v>-0.75800000000000001</v>
      </c>
      <c r="X390" s="26">
        <f>Tracks!X$20</f>
        <v>-0.78300000000000003</v>
      </c>
      <c r="Y390" s="26">
        <f>Tracks!Y$20</f>
        <v>-0.80400000000000005</v>
      </c>
      <c r="Z390" s="26">
        <f>Tracks!Z$20</f>
        <v>-0.82900000000000007</v>
      </c>
      <c r="AA390" s="26">
        <f>Tracks!AA$20</f>
        <v>-0.85400000000000009</v>
      </c>
      <c r="AB390" s="26">
        <f>Tracks!AB$20</f>
        <v>-0.87600000000000011</v>
      </c>
      <c r="AC390" s="26">
        <f>Tracks!AC$20</f>
        <v>-0.89900000000000013</v>
      </c>
    </row>
    <row r="391" spans="1:29" x14ac:dyDescent="0.2">
      <c r="A391" s="3" t="s">
        <v>517</v>
      </c>
      <c r="B391" s="4" t="str">
        <f t="shared" si="210"/>
        <v>From Fiscal Forecasts</v>
      </c>
      <c r="F391" s="21">
        <f>'Fiscal Forecasts'!F$336</f>
        <v>-0.55500000000000005</v>
      </c>
      <c r="G391" s="21">
        <f>'Fiscal Forecasts'!G$336</f>
        <v>-0.629</v>
      </c>
      <c r="H391" s="21">
        <f>'Fiscal Forecasts'!H$336</f>
        <v>-0.71</v>
      </c>
      <c r="I391" s="21">
        <f>'Fiscal Forecasts'!I$336</f>
        <v>-0.754</v>
      </c>
      <c r="J391" s="21">
        <f>'Fiscal Forecasts'!J$336</f>
        <v>-0.80200000000000005</v>
      </c>
      <c r="K391" s="21">
        <f>'Fiscal Forecasts'!K$336</f>
        <v>-0.877</v>
      </c>
      <c r="L391" s="21">
        <f>'Fiscal Forecasts'!L$336</f>
        <v>-1.054</v>
      </c>
      <c r="M391" s="21">
        <f>'Fiscal Forecasts'!M$336</f>
        <v>-1.032</v>
      </c>
      <c r="N391" s="21">
        <f>'Fiscal Forecasts'!N$336</f>
        <v>-1.1140000000000001</v>
      </c>
      <c r="O391" s="24">
        <f>'Fiscal Forecasts'!O$336</f>
        <v>-1.171</v>
      </c>
      <c r="P391" s="24">
        <f>'Fiscal Forecasts'!P$336</f>
        <v>-1.2490000000000001</v>
      </c>
      <c r="Q391" s="24">
        <f>'Fiscal Forecasts'!Q$336</f>
        <v>-1.31</v>
      </c>
      <c r="R391" s="24">
        <f>'Fiscal Forecasts'!R$336</f>
        <v>-1.395</v>
      </c>
      <c r="S391" s="24">
        <f>'Fiscal Forecasts'!S$336</f>
        <v>-1.4490000000000001</v>
      </c>
      <c r="T391" s="26">
        <f>Tracks!T$21</f>
        <v>-1.4930000000000001</v>
      </c>
      <c r="U391" s="26">
        <f>Tracks!U$21</f>
        <v>-1.554</v>
      </c>
      <c r="V391" s="26">
        <f>Tracks!V$21</f>
        <v>-1.611</v>
      </c>
      <c r="W391" s="26">
        <f>Tracks!W$21</f>
        <v>-1.6639999999999999</v>
      </c>
      <c r="X391" s="26">
        <f>Tracks!X$21</f>
        <v>-1.716</v>
      </c>
      <c r="Y391" s="26">
        <f>Tracks!Y$21</f>
        <v>-1.766</v>
      </c>
      <c r="Z391" s="26">
        <f>Tracks!Z$21</f>
        <v>-1.8120000000000001</v>
      </c>
      <c r="AA391" s="26">
        <f>Tracks!AA$21</f>
        <v>-1.8660000000000001</v>
      </c>
      <c r="AB391" s="26">
        <f>Tracks!AB$21</f>
        <v>-1.9200000000000002</v>
      </c>
      <c r="AC391" s="26">
        <f>Tracks!AC$21</f>
        <v>-1.9770000000000001</v>
      </c>
    </row>
    <row r="392" spans="1:29" x14ac:dyDescent="0.2">
      <c r="A392" s="3" t="s">
        <v>518</v>
      </c>
      <c r="B392" s="4" t="str">
        <f t="shared" si="210"/>
        <v>From Fiscal Forecasts</v>
      </c>
      <c r="F392" s="21">
        <f>'Fiscal Forecasts'!F$337</f>
        <v>0.36</v>
      </c>
      <c r="G392" s="21">
        <f>'Fiscal Forecasts'!G$337</f>
        <v>0.40699999999999997</v>
      </c>
      <c r="H392" s="21">
        <f>'Fiscal Forecasts'!H$337</f>
        <v>0.46500000000000002</v>
      </c>
      <c r="I392" s="21">
        <f>'Fiscal Forecasts'!I$337</f>
        <v>0.46300000000000002</v>
      </c>
      <c r="J392" s="21">
        <f>'Fiscal Forecasts'!J$337</f>
        <v>0.48399999999999999</v>
      </c>
      <c r="K392" s="21">
        <f>'Fiscal Forecasts'!K$337</f>
        <v>0.52600000000000002</v>
      </c>
      <c r="L392" s="21">
        <f>'Fiscal Forecasts'!L$337</f>
        <v>0.59</v>
      </c>
      <c r="M392" s="21">
        <f>'Fiscal Forecasts'!M$337</f>
        <v>0.57899999999999996</v>
      </c>
      <c r="N392" s="21">
        <f>'Fiscal Forecasts'!N$337</f>
        <v>0.60399999999999998</v>
      </c>
      <c r="O392" s="24">
        <f>'Fiscal Forecasts'!O$337</f>
        <v>0.59599999999999997</v>
      </c>
      <c r="P392" s="24">
        <f>'Fiscal Forecasts'!P$337</f>
        <v>0.60899999999999999</v>
      </c>
      <c r="Q392" s="24">
        <f>'Fiscal Forecasts'!Q$337</f>
        <v>0.622</v>
      </c>
      <c r="R392" s="24">
        <f>'Fiscal Forecasts'!R$337</f>
        <v>0.629</v>
      </c>
      <c r="S392" s="24">
        <f>'Fiscal Forecasts'!S$337</f>
        <v>0.63500000000000001</v>
      </c>
      <c r="T392" s="26">
        <f>Tracks!T$22</f>
        <v>0.66</v>
      </c>
      <c r="U392" s="26">
        <f>Tracks!U$22</f>
        <v>0.68100000000000005</v>
      </c>
      <c r="V392" s="26">
        <f>Tracks!V$22</f>
        <v>0.69300000000000006</v>
      </c>
      <c r="W392" s="26">
        <f>Tracks!W$22</f>
        <v>0.70800000000000007</v>
      </c>
      <c r="X392" s="26">
        <f>Tracks!X$22</f>
        <v>0.72500000000000009</v>
      </c>
      <c r="Y392" s="26">
        <f>Tracks!Y$22</f>
        <v>0.7410000000000001</v>
      </c>
      <c r="Z392" s="26">
        <f>Tracks!Z$22</f>
        <v>0.75700000000000012</v>
      </c>
      <c r="AA392" s="26">
        <f>Tracks!AA$22</f>
        <v>0.77800000000000014</v>
      </c>
      <c r="AB392" s="26">
        <f>Tracks!AB$22</f>
        <v>0.79700000000000015</v>
      </c>
      <c r="AC392" s="26">
        <f>Tracks!AC$22</f>
        <v>0.81900000000000017</v>
      </c>
    </row>
    <row r="393" spans="1:29" x14ac:dyDescent="0.2">
      <c r="A393" s="3" t="s">
        <v>519</v>
      </c>
      <c r="B393" s="4" t="str">
        <f t="shared" si="210"/>
        <v>From Fiscal Forecasts</v>
      </c>
      <c r="F393" s="21">
        <f>'Fiscal Forecasts'!F$338</f>
        <v>-0.151</v>
      </c>
      <c r="G393" s="21">
        <f>'Fiscal Forecasts'!G$338</f>
        <v>0.23100000000000001</v>
      </c>
      <c r="H393" s="21">
        <f>'Fiscal Forecasts'!H$338</f>
        <v>-0.77900000000000003</v>
      </c>
      <c r="I393" s="21">
        <f>'Fiscal Forecasts'!I$338</f>
        <v>-0.28000000000000003</v>
      </c>
      <c r="J393" s="21">
        <f>'Fiscal Forecasts'!J$338</f>
        <v>0.125</v>
      </c>
      <c r="K393" s="21">
        <f>'Fiscal Forecasts'!K$338</f>
        <v>0.28599999999999998</v>
      </c>
      <c r="L393" s="21">
        <f>'Fiscal Forecasts'!L$338</f>
        <v>-0.48399999999999999</v>
      </c>
      <c r="M393" s="21">
        <f>'Fiscal Forecasts'!M$338</f>
        <v>-1.2E-2</v>
      </c>
      <c r="N393" s="21">
        <f>'Fiscal Forecasts'!N$338</f>
        <v>-0.26900000000000002</v>
      </c>
      <c r="O393" s="24">
        <f>'Fiscal Forecasts'!O$338</f>
        <v>-0.1</v>
      </c>
      <c r="P393" s="24">
        <f>'Fiscal Forecasts'!P$338</f>
        <v>-0.1</v>
      </c>
      <c r="Q393" s="24">
        <f>'Fiscal Forecasts'!Q$338</f>
        <v>-0.1</v>
      </c>
      <c r="R393" s="24">
        <f>'Fiscal Forecasts'!R$338</f>
        <v>-0.1</v>
      </c>
      <c r="S393" s="24">
        <f>'Fiscal Forecasts'!S$338</f>
        <v>-0.1</v>
      </c>
      <c r="T393" s="26">
        <f ca="1">IF(T$4=OFFSET(Choices!$B$10,0,$C$1),0,S$393)</f>
        <v>0</v>
      </c>
      <c r="U393" s="26">
        <f ca="1">IF(U$4=OFFSET(Choices!$B$10,0,$C$1),0,T$393)</f>
        <v>0</v>
      </c>
      <c r="V393" s="26">
        <f ca="1">IF(V$4=OFFSET(Choices!$B$10,0,$C$1),0,U$393)</f>
        <v>0</v>
      </c>
      <c r="W393" s="26">
        <f ca="1">IF(W$4=OFFSET(Choices!$B$10,0,$C$1),0,V$393)</f>
        <v>0</v>
      </c>
      <c r="X393" s="26">
        <f ca="1">IF(X$4=OFFSET(Choices!$B$10,0,$C$1),0,W$393)</f>
        <v>0</v>
      </c>
      <c r="Y393" s="26">
        <f ca="1">IF(Y$4=OFFSET(Choices!$B$10,0,$C$1),0,X$393)</f>
        <v>0</v>
      </c>
      <c r="Z393" s="26">
        <f ca="1">IF(Z$4=OFFSET(Choices!$B$10,0,$C$1),0,Y$393)</f>
        <v>0</v>
      </c>
      <c r="AA393" s="26">
        <f ca="1">IF(AA$4=OFFSET(Choices!$B$10,0,$C$1),0,Z$393)</f>
        <v>0</v>
      </c>
      <c r="AB393" s="26">
        <f ca="1">IF(AB$4=OFFSET(Choices!$B$10,0,$C$1),0,AA$393)</f>
        <v>0</v>
      </c>
      <c r="AC393" s="26">
        <f ca="1">IF(AC$4=OFFSET(Choices!$B$10,0,$C$1),0,AB$393)</f>
        <v>0</v>
      </c>
    </row>
    <row r="394" spans="1:29" x14ac:dyDescent="0.2">
      <c r="A394" s="3" t="s">
        <v>135</v>
      </c>
      <c r="B394" s="4" t="str">
        <f t="shared" si="210"/>
        <v>From Fiscal Forecasts</v>
      </c>
      <c r="F394" s="21">
        <f>'Fiscal Forecasts'!F$339</f>
        <v>0.1</v>
      </c>
      <c r="G394" s="21">
        <f>'Fiscal Forecasts'!G$339</f>
        <v>7.0000000000000001E-3</v>
      </c>
      <c r="H394" s="21">
        <f>'Fiscal Forecasts'!H$339</f>
        <v>1.7999999999999999E-2</v>
      </c>
      <c r="I394" s="21">
        <f>'Fiscal Forecasts'!I$339</f>
        <v>1.0999999999999999E-2</v>
      </c>
      <c r="J394" s="21">
        <f>'Fiscal Forecasts'!J$339</f>
        <v>1.2E-2</v>
      </c>
      <c r="K394" s="21">
        <f>'Fiscal Forecasts'!K$339</f>
        <v>1.0999999999999999E-2</v>
      </c>
      <c r="L394" s="21">
        <f>'Fiscal Forecasts'!L$339</f>
        <v>0</v>
      </c>
      <c r="M394" s="21">
        <f>'Fiscal Forecasts'!M$339</f>
        <v>1.0999999999999999E-2</v>
      </c>
      <c r="N394" s="21">
        <f>'Fiscal Forecasts'!N$339</f>
        <v>1.0999999999999999E-2</v>
      </c>
      <c r="O394" s="24">
        <f>'Fiscal Forecasts'!O$339</f>
        <v>1.0999999999999999E-2</v>
      </c>
      <c r="P394" s="24">
        <f>'Fiscal Forecasts'!P$339</f>
        <v>1.0999999999999999E-2</v>
      </c>
      <c r="Q394" s="24">
        <f>'Fiscal Forecasts'!Q$339</f>
        <v>1.0999999999999999E-2</v>
      </c>
      <c r="R394" s="24">
        <f>'Fiscal Forecasts'!R$339</f>
        <v>0.01</v>
      </c>
      <c r="S394" s="24">
        <f>'Fiscal Forecasts'!S$339</f>
        <v>0.01</v>
      </c>
      <c r="T394" s="26">
        <f ca="1">IF(T$4=OFFSET(Choices!$B$10,0,$C$1),0,S$394)</f>
        <v>0</v>
      </c>
      <c r="U394" s="26">
        <f ca="1">IF(U$4=OFFSET(Choices!$B$10,0,$C$1),0,T$394)</f>
        <v>0</v>
      </c>
      <c r="V394" s="26">
        <f ca="1">IF(V$4=OFFSET(Choices!$B$10,0,$C$1),0,U$394)</f>
        <v>0</v>
      </c>
      <c r="W394" s="26">
        <f ca="1">IF(W$4=OFFSET(Choices!$B$10,0,$C$1),0,V$394)</f>
        <v>0</v>
      </c>
      <c r="X394" s="26">
        <f ca="1">IF(X$4=OFFSET(Choices!$B$10,0,$C$1),0,W$394)</f>
        <v>0</v>
      </c>
      <c r="Y394" s="26">
        <f ca="1">IF(Y$4=OFFSET(Choices!$B$10,0,$C$1),0,X$394)</f>
        <v>0</v>
      </c>
      <c r="Z394" s="26">
        <f ca="1">IF(Z$4=OFFSET(Choices!$B$10,0,$C$1),0,Y$394)</f>
        <v>0</v>
      </c>
      <c r="AA394" s="26">
        <f ca="1">IF(AA$4=OFFSET(Choices!$B$10,0,$C$1),0,Z$394)</f>
        <v>0</v>
      </c>
      <c r="AB394" s="26">
        <f ca="1">IF(AB$4=OFFSET(Choices!$B$10,0,$C$1),0,AA$394)</f>
        <v>0</v>
      </c>
      <c r="AC394" s="26">
        <f ca="1">IF(AC$4=OFFSET(Choices!$B$10,0,$C$1),0,AB$394)</f>
        <v>0</v>
      </c>
    </row>
    <row r="395" spans="1:29" x14ac:dyDescent="0.2">
      <c r="A395" s="31" t="s">
        <v>520</v>
      </c>
      <c r="E395" s="68">
        <f>'Fiscal Forecasts'!$E$340</f>
        <v>5.569</v>
      </c>
      <c r="F395" s="56">
        <f>SUM(E$395,F$389:F$394)</f>
        <v>6.0110000000000001</v>
      </c>
      <c r="G395" s="56">
        <f t="shared" ref="G395:AC395" si="211">SUM(F$395,G$389:G$394)</f>
        <v>6.7409999999999997</v>
      </c>
      <c r="H395" s="56">
        <f t="shared" si="211"/>
        <v>6.552999999999999</v>
      </c>
      <c r="I395" s="56">
        <f t="shared" si="211"/>
        <v>6.79</v>
      </c>
      <c r="J395" s="56">
        <f t="shared" si="211"/>
        <v>7.4599999999999982</v>
      </c>
      <c r="K395" s="56">
        <f t="shared" si="211"/>
        <v>8.2909999999999968</v>
      </c>
      <c r="L395" s="56">
        <f t="shared" si="211"/>
        <v>8.2879999999999967</v>
      </c>
      <c r="M395" s="56">
        <f t="shared" si="211"/>
        <v>8.7159999999999958</v>
      </c>
      <c r="N395" s="56">
        <f t="shared" si="211"/>
        <v>8.8639999999999937</v>
      </c>
      <c r="O395" s="57">
        <f t="shared" si="211"/>
        <v>9.117999999999995</v>
      </c>
      <c r="P395" s="57">
        <f t="shared" si="211"/>
        <v>9.3329999999999931</v>
      </c>
      <c r="Q395" s="57">
        <f t="shared" si="211"/>
        <v>9.5069999999999926</v>
      </c>
      <c r="R395" s="57">
        <f t="shared" si="211"/>
        <v>9.6069999999999922</v>
      </c>
      <c r="S395" s="57">
        <f t="shared" si="211"/>
        <v>9.6829999999999927</v>
      </c>
      <c r="T395" s="58">
        <f t="shared" ca="1" si="211"/>
        <v>9.8749999999999929</v>
      </c>
      <c r="U395" s="58">
        <f t="shared" ca="1" si="211"/>
        <v>10.064999999999994</v>
      </c>
      <c r="V395" s="58">
        <f t="shared" ca="1" si="211"/>
        <v>10.250999999999992</v>
      </c>
      <c r="W395" s="58">
        <f t="shared" ca="1" si="211"/>
        <v>10.443999999999992</v>
      </c>
      <c r="X395" s="58">
        <f t="shared" ca="1" si="211"/>
        <v>10.637999999999993</v>
      </c>
      <c r="Y395" s="58">
        <f t="shared" ca="1" si="211"/>
        <v>10.839999999999993</v>
      </c>
      <c r="Z395" s="58">
        <f t="shared" ca="1" si="211"/>
        <v>11.053999999999993</v>
      </c>
      <c r="AA395" s="58">
        <f t="shared" ca="1" si="211"/>
        <v>11.278999999999995</v>
      </c>
      <c r="AB395" s="58">
        <f t="shared" ca="1" si="211"/>
        <v>11.512999999999996</v>
      </c>
      <c r="AC395" s="58">
        <f t="shared" ca="1" si="211"/>
        <v>11.754999999999995</v>
      </c>
    </row>
    <row r="397" spans="1:29" x14ac:dyDescent="0.2">
      <c r="A397" s="31" t="s">
        <v>771</v>
      </c>
      <c r="B397" s="4" t="str">
        <f>$B$46</f>
        <v>From Fiscal Forecasts</v>
      </c>
      <c r="F397" s="23">
        <f>ROUND('Fiscal Forecasts'!F$192*F$398/SUM(F$398,F$401),3)</f>
        <v>0.45900000000000002</v>
      </c>
      <c r="G397" s="23">
        <f>ROUND('Fiscal Forecasts'!G$192*G$398/SUM(G$398,G$401),3)</f>
        <v>0.504</v>
      </c>
      <c r="H397" s="23">
        <f>ROUND('Fiscal Forecasts'!H$192*H$398/SUM(H$398,H$401),3)</f>
        <v>0.57099999999999995</v>
      </c>
      <c r="I397" s="23">
        <f>ROUND('Fiscal Forecasts'!I$192*I$398/SUM(I$398,I$401),3)</f>
        <v>0.60099999999999998</v>
      </c>
      <c r="J397" s="23">
        <f>ROUND('Fiscal Forecasts'!J$192*J$398/SUM(J$398,J$401),3)</f>
        <v>0.66900000000000004</v>
      </c>
      <c r="K397" s="23">
        <f>ROUND('Fiscal Forecasts'!K$192*K$398/SUM(K$398,K$401),3)</f>
        <v>0.59799999999999998</v>
      </c>
      <c r="L397" s="23">
        <f>ROUND('Fiscal Forecasts'!L$192*L$398/SUM(L$398,L$401),3)</f>
        <v>0.53300000000000003</v>
      </c>
      <c r="M397" s="23">
        <f>ROUND('Fiscal Forecasts'!M$192*M$398/SUM(M$398,M$401),3)</f>
        <v>0.497</v>
      </c>
      <c r="N397" s="23">
        <f>ROUND('Fiscal Forecasts'!N$192*N$398/SUM(N$398,N$401),3)</f>
        <v>0.45500000000000002</v>
      </c>
      <c r="O397" s="25">
        <f>ROUND('Fiscal Forecasts'!O$192*O$398/SUM(O$398,O$401),3)</f>
        <v>0.48599999999999999</v>
      </c>
      <c r="P397" s="25">
        <f>ROUND('Fiscal Forecasts'!P$192*P$398/SUM(P$398,P$401),3)</f>
        <v>0.44400000000000001</v>
      </c>
      <c r="Q397" s="25">
        <f>ROUND('Fiscal Forecasts'!Q$192*Q$398/SUM(Q$398,Q$401),3)</f>
        <v>0.44900000000000001</v>
      </c>
      <c r="R397" s="25">
        <f>ROUND('Fiscal Forecasts'!R$192*R$398/SUM(R$398,R$401),3)</f>
        <v>0.44600000000000001</v>
      </c>
      <c r="S397" s="25">
        <f>ROUND('Fiscal Forecasts'!S$192*S$398/SUM(S$398,S$401),3)</f>
        <v>0.44400000000000001</v>
      </c>
      <c r="T397" s="11">
        <f ca="1">(S$397/S$11+IF(T$1&gt;0,T$1*IF(T$4=OFFSET(Choices!$B$10,0,$C$1),SUMPRODUCT(OFFSET(S$397,0,0,1,-OFFSET(Choices!$B$59,0,$C$1)),OFFSET(S$13,0,0,1,-OFFSET(Choices!$B$59,0,$C$1)))/OFFSET(Choices!$B$59,0,$C$1)-S$397/S$11,(S$397/S$11-R$397/R$11)/S$1),0))*T$11</f>
        <v>0.47142287391713966</v>
      </c>
      <c r="U397" s="11">
        <f ca="1">(T$397/T$11+IF(U$1&gt;0,U$1*IF(U$4=OFFSET(Choices!$B$10,0,$C$1),SUMPRODUCT(OFFSET(T$397,0,0,1,-OFFSET(Choices!$B$59,0,$C$1)),OFFSET(T$13,0,0,1,-OFFSET(Choices!$B$59,0,$C$1)))/OFFSET(Choices!$B$59,0,$C$1)-T$397/T$11,(T$397/T$11-S$397/S$11)/T$1),0))*U$11</f>
        <v>0.49875745971849028</v>
      </c>
      <c r="V397" s="11">
        <f ca="1">(U$397/U$11+IF(V$1&gt;0,V$1*IF(V$4=OFFSET(Choices!$B$10,0,$C$1),SUMPRODUCT(OFFSET(U$397,0,0,1,-OFFSET(Choices!$B$59,0,$C$1)),OFFSET(U$13,0,0,1,-OFFSET(Choices!$B$59,0,$C$1)))/OFFSET(Choices!$B$59,0,$C$1)-U$397/U$11,(U$397/U$11-T$397/T$11)/U$1),0))*V$11</f>
        <v>0.52619067939446174</v>
      </c>
      <c r="W397" s="11">
        <f ca="1">(V$397/V$11+IF(W$1&gt;0,W$1*IF(W$4=OFFSET(Choices!$B$10,0,$C$1),SUMPRODUCT(OFFSET(V$397,0,0,1,-OFFSET(Choices!$B$59,0,$C$1)),OFFSET(V$13,0,0,1,-OFFSET(Choices!$B$59,0,$C$1)))/OFFSET(Choices!$B$59,0,$C$1)-V$397/V$11,(V$397/V$11-U$397/U$11)/V$1),0))*W$11</f>
        <v>0.55314948094109362</v>
      </c>
      <c r="X397" s="11">
        <f ca="1">(W$397/W$11+IF(X$1&gt;0,X$1*IF(X$4=OFFSET(Choices!$B$10,0,$C$1),SUMPRODUCT(OFFSET(W$397,0,0,1,-OFFSET(Choices!$B$59,0,$C$1)),OFFSET(W$13,0,0,1,-OFFSET(Choices!$B$59,0,$C$1)))/OFFSET(Choices!$B$59,0,$C$1)-W$397/W$11,(W$397/W$11-V$397/V$11)/W$1),0))*X$11</f>
        <v>0.57955309708538572</v>
      </c>
      <c r="Y397" s="11">
        <f ca="1">(X$397/X$11+IF(Y$1&gt;0,Y$1*IF(Y$4=OFFSET(Choices!$B$10,0,$C$1),SUMPRODUCT(OFFSET(X$397,0,0,1,-OFFSET(Choices!$B$59,0,$C$1)),OFFSET(X$13,0,0,1,-OFFSET(Choices!$B$59,0,$C$1)))/OFFSET(Choices!$B$59,0,$C$1)-X$397/X$11,(X$397/X$11-W$397/W$11)/X$1),0))*Y$11</f>
        <v>0.60499742323821726</v>
      </c>
      <c r="Z397" s="11">
        <f ca="1">(Y$397/Y$11+IF(Z$1&gt;0,Z$1*IF(Z$4=OFFSET(Choices!$B$10,0,$C$1),SUMPRODUCT(OFFSET(Y$397,0,0,1,-OFFSET(Choices!$B$59,0,$C$1)),OFFSET(Y$13,0,0,1,-OFFSET(Choices!$B$59,0,$C$1)))/OFFSET(Choices!$B$59,0,$C$1)-Y$397/Y$11,(Y$397/Y$11-X$397/X$11)/Y$1),0))*Z$11</f>
        <v>0.63118682301439333</v>
      </c>
      <c r="AA397" s="11">
        <f ca="1">(Z$397/Z$11+IF(AA$1&gt;0,AA$1*IF(AA$4=OFFSET(Choices!$B$10,0,$C$1),SUMPRODUCT(OFFSET(Z$397,0,0,1,-OFFSET(Choices!$B$59,0,$C$1)),OFFSET(Z$13,0,0,1,-OFFSET(Choices!$B$59,0,$C$1)))/OFFSET(Choices!$B$59,0,$C$1)-Z$397/Z$11,(Z$397/Z$11-Y$397/Y$11)/Z$1),0))*AA$11</f>
        <v>0.65813972207885174</v>
      </c>
      <c r="AB397" s="11">
        <f ca="1">(AA$397/AA$11+IF(AB$1&gt;0,AB$1*IF(AB$4=OFFSET(Choices!$B$10,0,$C$1),SUMPRODUCT(OFFSET(AA$397,0,0,1,-OFFSET(Choices!$B$59,0,$C$1)),OFFSET(AA$13,0,0,1,-OFFSET(Choices!$B$59,0,$C$1)))/OFFSET(Choices!$B$59,0,$C$1)-AA$397/AA$11,(AA$397/AA$11-Z$397/Z$11)/AA$1),0))*AB$11</f>
        <v>0.68575204106576904</v>
      </c>
      <c r="AC397" s="11">
        <f ca="1">(AB$397/AB$11+IF(AC$1&gt;0,AC$1*IF(AC$4=OFFSET(Choices!$B$10,0,$C$1),SUMPRODUCT(OFFSET(AB$397,0,0,1,-OFFSET(Choices!$B$59,0,$C$1)),OFFSET(AB$13,0,0,1,-OFFSET(Choices!$B$59,0,$C$1)))/OFFSET(Choices!$B$59,0,$C$1)-AB$397/AB$11,(AB$397/AB$11-AA$397/AA$11)/AB$1),0))*AC$11</f>
        <v>0.7141676874500732</v>
      </c>
    </row>
    <row r="398" spans="1:29" x14ac:dyDescent="0.2">
      <c r="A398" s="31" t="s">
        <v>770</v>
      </c>
      <c r="B398" s="4" t="str">
        <f>$B$46</f>
        <v>From Fiscal Forecasts</v>
      </c>
      <c r="F398" s="23">
        <f>'Fiscal Forecasts'!F$118</f>
        <v>0.82599999999999996</v>
      </c>
      <c r="G398" s="23">
        <f>'Fiscal Forecasts'!G$118</f>
        <v>0.96399999999999997</v>
      </c>
      <c r="H398" s="23">
        <f>'Fiscal Forecasts'!H$118</f>
        <v>1.0820000000000001</v>
      </c>
      <c r="I398" s="23">
        <f>'Fiscal Forecasts'!I$118</f>
        <v>1.1599999999999999</v>
      </c>
      <c r="J398" s="23">
        <f>'Fiscal Forecasts'!J$118</f>
        <v>1.3080000000000001</v>
      </c>
      <c r="K398" s="23">
        <f>'Fiscal Forecasts'!K$118</f>
        <v>1.234</v>
      </c>
      <c r="L398" s="23">
        <f>'Fiscal Forecasts'!L$118</f>
        <v>1.1399999999999999</v>
      </c>
      <c r="M398" s="23">
        <f>'Fiscal Forecasts'!M$118</f>
        <v>1.099</v>
      </c>
      <c r="N398" s="23">
        <f>'Fiscal Forecasts'!N$118</f>
        <v>0.995</v>
      </c>
      <c r="O398" s="25">
        <f>'Fiscal Forecasts'!O$118</f>
        <v>0.96699999999999997</v>
      </c>
      <c r="P398" s="25">
        <f>'Fiscal Forecasts'!P$118</f>
        <v>0.86499999999999999</v>
      </c>
      <c r="Q398" s="25">
        <f>'Fiscal Forecasts'!Q$118</f>
        <v>0.85699999999999998</v>
      </c>
      <c r="R398" s="25">
        <f>'Fiscal Forecasts'!R$118</f>
        <v>0.84799999999999998</v>
      </c>
      <c r="S398" s="25">
        <f>'Fiscal Forecasts'!S$118</f>
        <v>0.84</v>
      </c>
      <c r="T398" s="11">
        <f ca="1">((S$398-S$397)/S$11+IF(T$1&gt;0,T$1*IF(T$4=OFFSET(Choices!$B$10,0,$C$1),(SUMPRODUCT(OFFSET(S$398,0,0,1,-OFFSET(Choices!$B$59,0,$C$1)),OFFSET(S$13,0,0,1,-OFFSET(Choices!$B$59,0,$C$1)))-SUMPRODUCT(OFFSET(S$397,0,0,1,-OFFSET(Choices!$B$59,0,$C$1)),OFFSET(S$13,0,0,1,-OFFSET(Choices!$B$59,0,$C$1))))/OFFSET(Choices!$B$59,0,$C$1)-(S$398-S$397)/S$11,((S$398-S$397)/S$11-(R$398-R$397)/R$11)/S$1),0))*T$11 +T$397</f>
        <v>0.8933459307728604</v>
      </c>
      <c r="U398" s="11">
        <f ca="1">((T$398-T$397)/T$11+IF(U$1&gt;0,U$1*IF(U$4=OFFSET(Choices!$B$10,0,$C$1),(SUMPRODUCT(OFFSET(T$398,0,0,1,-OFFSET(Choices!$B$59,0,$C$1)),OFFSET(T$13,0,0,1,-OFFSET(Choices!$B$59,0,$C$1)))-SUMPRODUCT(OFFSET(T$397,0,0,1,-OFFSET(Choices!$B$59,0,$C$1)),OFFSET(T$13,0,0,1,-OFFSET(Choices!$B$59,0,$C$1))))/OFFSET(Choices!$B$59,0,$C$1)-(T$398-T$397)/T$11,((T$398-T$397)/T$11-(S$398-S$397)/S$11)/T$1),0))*U$11 +U$397</f>
        <v>0.94634875162669996</v>
      </c>
      <c r="V398" s="11">
        <f ca="1">((U$398-U$397)/U$11+IF(V$1&gt;0,V$1*IF(V$4=OFFSET(Choices!$B$10,0,$C$1),(SUMPRODUCT(OFFSET(U$398,0,0,1,-OFFSET(Choices!$B$59,0,$C$1)),OFFSET(U$13,0,0,1,-OFFSET(Choices!$B$59,0,$C$1)))-SUMPRODUCT(OFFSET(U$397,0,0,1,-OFFSET(Choices!$B$59,0,$C$1)),OFFSET(U$13,0,0,1,-OFFSET(Choices!$B$59,0,$C$1))))/OFFSET(Choices!$B$59,0,$C$1)-(U$398-U$397)/U$11,((U$398-U$397)/U$11-(T$398-T$397)/T$11)/U$1),0))*V$11 +V$397</f>
        <v>0.99933210115536242</v>
      </c>
      <c r="W398" s="11">
        <f ca="1">((V$398-V$397)/V$11+IF(W$1&gt;0,W$1*IF(W$4=OFFSET(Choices!$B$10,0,$C$1),(SUMPRODUCT(OFFSET(V$398,0,0,1,-OFFSET(Choices!$B$59,0,$C$1)),OFFSET(V$13,0,0,1,-OFFSET(Choices!$B$59,0,$C$1)))-SUMPRODUCT(OFFSET(V$397,0,0,1,-OFFSET(Choices!$B$59,0,$C$1)),OFFSET(V$13,0,0,1,-OFFSET(Choices!$B$59,0,$C$1))))/OFFSET(Choices!$B$59,0,$C$1)-(V$398-V$397)/V$11,((V$398-V$397)/V$11-(U$398-U$397)/U$11)/V$1),0))*W$11 +W$397</f>
        <v>1.0511740365747029</v>
      </c>
      <c r="X398" s="11">
        <f ca="1">((W$398-W$397)/W$11+IF(X$1&gt;0,X$1*IF(X$4=OFFSET(Choices!$B$10,0,$C$1),(SUMPRODUCT(OFFSET(W$398,0,0,1,-OFFSET(Choices!$B$59,0,$C$1)),OFFSET(W$13,0,0,1,-OFFSET(Choices!$B$59,0,$C$1)))-SUMPRODUCT(OFFSET(W$397,0,0,1,-OFFSET(Choices!$B$59,0,$C$1)),OFFSET(W$13,0,0,1,-OFFSET(Choices!$B$59,0,$C$1))))/OFFSET(Choices!$B$59,0,$C$1)-(W$398-W$397)/W$11,((W$398-W$397)/W$11-(V$398-V$397)/V$11)/W$1),0))*X$11 +X$397</f>
        <v>1.1016832379836745</v>
      </c>
      <c r="Y398" s="11">
        <f ca="1">((X$398-X$397)/X$11+IF(Y$1&gt;0,Y$1*IF(Y$4=OFFSET(Choices!$B$10,0,$C$1),(SUMPRODUCT(OFFSET(X$398,0,0,1,-OFFSET(Choices!$B$59,0,$C$1)),OFFSET(X$13,0,0,1,-OFFSET(Choices!$B$59,0,$C$1)))-SUMPRODUCT(OFFSET(X$397,0,0,1,-OFFSET(Choices!$B$59,0,$C$1)),OFFSET(X$13,0,0,1,-OFFSET(Choices!$B$59,0,$C$1))))/OFFSET(Choices!$B$59,0,$C$1)-(X$398-X$397)/X$11,((X$398-X$397)/X$11-(W$398-W$397)/W$11)/X$1),0))*Y$11 +Y$397</f>
        <v>1.1500508297804175</v>
      </c>
      <c r="Z398" s="11">
        <f ca="1">((Y$398-Y$397)/Y$11+IF(Z$1&gt;0,Z$1*IF(Z$4=OFFSET(Choices!$B$10,0,$C$1),(SUMPRODUCT(OFFSET(Y$398,0,0,1,-OFFSET(Choices!$B$59,0,$C$1)),OFFSET(Y$13,0,0,1,-OFFSET(Choices!$B$59,0,$C$1)))-SUMPRODUCT(OFFSET(Y$397,0,0,1,-OFFSET(Choices!$B$59,0,$C$1)),OFFSET(Y$13,0,0,1,-OFFSET(Choices!$B$59,0,$C$1))))/OFFSET(Choices!$B$59,0,$C$1)-(Y$398-Y$397)/Y$11,((Y$398-Y$397)/Y$11-(X$398-X$397)/X$11)/Y$1),0))*Z$11 +Z$397</f>
        <v>1.1998347458553509</v>
      </c>
      <c r="AA398" s="11">
        <f ca="1">((Z$398-Z$397)/Z$11+IF(AA$1&gt;0,AA$1*IF(AA$4=OFFSET(Choices!$B$10,0,$C$1),(SUMPRODUCT(OFFSET(Z$398,0,0,1,-OFFSET(Choices!$B$59,0,$C$1)),OFFSET(Z$13,0,0,1,-OFFSET(Choices!$B$59,0,$C$1)))-SUMPRODUCT(OFFSET(Z$397,0,0,1,-OFFSET(Choices!$B$59,0,$C$1)),OFFSET(Z$13,0,0,1,-OFFSET(Choices!$B$59,0,$C$1))))/OFFSET(Choices!$B$59,0,$C$1)-(Z$398-Z$397)/Z$11,((Z$398-Z$397)/Z$11-(Y$398-Y$397)/Y$11)/Z$1),0))*AA$11 +AA$397</f>
        <v>1.2510700118969109</v>
      </c>
      <c r="AB398" s="11">
        <f ca="1">((AA$398-AA$397)/AA$11+IF(AB$1&gt;0,AB$1*IF(AB$4=OFFSET(Choices!$B$10,0,$C$1),(SUMPRODUCT(OFFSET(AA$398,0,0,1,-OFFSET(Choices!$B$59,0,$C$1)),OFFSET(AA$13,0,0,1,-OFFSET(Choices!$B$59,0,$C$1)))-SUMPRODUCT(OFFSET(AA$397,0,0,1,-OFFSET(Choices!$B$59,0,$C$1)),OFFSET(AA$13,0,0,1,-OFFSET(Choices!$B$59,0,$C$1))))/OFFSET(Choices!$B$59,0,$C$1)-(AA$398-AA$397)/AA$11,((AA$398-AA$397)/AA$11-(Z$398-Z$397)/Z$11)/AA$1),0))*AB$11 +AB$397</f>
        <v>1.3035587815070286</v>
      </c>
      <c r="AC398" s="11">
        <f ca="1">((AB$398-AB$397)/AB$11+IF(AC$1&gt;0,AC$1*IF(AC$4=OFFSET(Choices!$B$10,0,$C$1),(SUMPRODUCT(OFFSET(AB$398,0,0,1,-OFFSET(Choices!$B$59,0,$C$1)),OFFSET(AB$13,0,0,1,-OFFSET(Choices!$B$59,0,$C$1)))-SUMPRODUCT(OFFSET(AB$397,0,0,1,-OFFSET(Choices!$B$59,0,$C$1)),OFFSET(AB$13,0,0,1,-OFFSET(Choices!$B$59,0,$C$1))))/OFFSET(Choices!$B$59,0,$C$1)-(AB$398-AB$397)/AB$11,((AB$398-AB$397)/AB$11-(AA$398-AA$397)/AA$11)/AB$1),0))*AC$11 +AC$397</f>
        <v>1.3575746110755267</v>
      </c>
    </row>
    <row r="399" spans="1:29" x14ac:dyDescent="0.2">
      <c r="A399" s="31"/>
      <c r="B399" s="4"/>
      <c r="F399" s="23"/>
      <c r="G399" s="23"/>
      <c r="H399" s="23"/>
      <c r="I399" s="23"/>
      <c r="J399" s="23"/>
      <c r="K399" s="23"/>
      <c r="L399" s="23"/>
      <c r="M399" s="23"/>
      <c r="N399" s="23"/>
      <c r="O399" s="25"/>
      <c r="P399" s="25"/>
      <c r="Q399" s="25"/>
      <c r="R399" s="25"/>
      <c r="S399" s="25"/>
      <c r="T399" s="11"/>
      <c r="U399" s="11"/>
      <c r="V399" s="11"/>
      <c r="W399" s="11"/>
      <c r="X399" s="11"/>
      <c r="Y399" s="11"/>
      <c r="Z399" s="11"/>
      <c r="AA399" s="11"/>
      <c r="AB399" s="11"/>
      <c r="AC399" s="11"/>
    </row>
    <row r="400" spans="1:29" x14ac:dyDescent="0.2">
      <c r="A400" s="31" t="s">
        <v>772</v>
      </c>
      <c r="B400" s="4" t="str">
        <f>$B$46</f>
        <v>From Fiscal Forecasts</v>
      </c>
      <c r="F400" s="23">
        <f>'Fiscal Forecasts'!F$192-F$397</f>
        <v>0.84799999999999986</v>
      </c>
      <c r="G400" s="23">
        <f>'Fiscal Forecasts'!G$192-G$397</f>
        <v>0.87000000000000011</v>
      </c>
      <c r="H400" s="23">
        <f>'Fiscal Forecasts'!H$192-H$397</f>
        <v>0.85899999999999999</v>
      </c>
      <c r="I400" s="23">
        <f>'Fiscal Forecasts'!I$192-I$397</f>
        <v>0.86099999999999999</v>
      </c>
      <c r="J400" s="23">
        <f>'Fiscal Forecasts'!J$192-J$397</f>
        <v>1.022</v>
      </c>
      <c r="K400" s="23">
        <f>'Fiscal Forecasts'!K$192-K$397</f>
        <v>1.0330000000000004</v>
      </c>
      <c r="L400" s="23">
        <f>'Fiscal Forecasts'!L$192-L$397</f>
        <v>1.0720000000000001</v>
      </c>
      <c r="M400" s="23">
        <f>'Fiscal Forecasts'!M$192-M$397</f>
        <v>1.1360000000000001</v>
      </c>
      <c r="N400" s="23">
        <f>'Fiscal Forecasts'!N$192-N$397</f>
        <v>1.0919999999999999</v>
      </c>
      <c r="O400" s="25">
        <f>'Fiscal Forecasts'!O$192-O$397</f>
        <v>1.0469999999999999</v>
      </c>
      <c r="P400" s="25">
        <f>'Fiscal Forecasts'!P$192-P$397</f>
        <v>1.089</v>
      </c>
      <c r="Q400" s="25">
        <f>'Fiscal Forecasts'!Q$192-Q$397</f>
        <v>1.1299999999999999</v>
      </c>
      <c r="R400" s="25">
        <f>'Fiscal Forecasts'!R$192-R$397</f>
        <v>1.1660000000000001</v>
      </c>
      <c r="S400" s="25">
        <f>'Fiscal Forecasts'!S$192-S$397</f>
        <v>1.2010000000000001</v>
      </c>
      <c r="T400" s="11">
        <f ca="1">(S$400/S$11+IF(T$1&gt;0,T$1*IF(T$4=OFFSET(Choices!$B$10,0,$C$1),SUMPRODUCT(OFFSET(S$400,0,0,1,-OFFSET(Choices!$B$59,0,$C$1)),OFFSET(S$13,0,0,1,-OFFSET(Choices!$B$59,0,$C$1)))/OFFSET(Choices!$B$59,0,$C$1)-S$400/S$11,(S$400/S$11-R$400/R$11)/S$1),0))*T$11</f>
        <v>1.2595848880971114</v>
      </c>
      <c r="U400" s="11">
        <f ca="1">(T$400/T$11+IF(U$1&gt;0,U$1*IF(U$4=OFFSET(Choices!$B$10,0,$C$1),SUMPRODUCT(OFFSET(T$400,0,0,1,-OFFSET(Choices!$B$59,0,$C$1)),OFFSET(T$13,0,0,1,-OFFSET(Choices!$B$59,0,$C$1)))/OFFSET(Choices!$B$59,0,$C$1)-T$400/T$11,(T$400/T$11-S$400/S$11)/T$1),0))*U$11</f>
        <v>1.3198052864026943</v>
      </c>
      <c r="V400" s="11">
        <f ca="1">(U$400/U$11+IF(V$1&gt;0,V$1*IF(V$4=OFFSET(Choices!$B$10,0,$C$1),SUMPRODUCT(OFFSET(U$400,0,0,1,-OFFSET(Choices!$B$59,0,$C$1)),OFFSET(U$13,0,0,1,-OFFSET(Choices!$B$59,0,$C$1)))/OFFSET(Choices!$B$59,0,$C$1)-U$400/U$11,(U$400/U$11-T$400/T$11)/U$1),0))*V$11</f>
        <v>1.3824861301333788</v>
      </c>
      <c r="W400" s="11">
        <f ca="1">(V$400/V$11+IF(W$1&gt;0,W$1*IF(W$4=OFFSET(Choices!$B$10,0,$C$1),SUMPRODUCT(OFFSET(V$400,0,0,1,-OFFSET(Choices!$B$59,0,$C$1)),OFFSET(V$13,0,0,1,-OFFSET(Choices!$B$59,0,$C$1)))/OFFSET(Choices!$B$59,0,$C$1)-V$400/V$11,(V$400/V$11-U$400/U$11)/V$1),0))*W$11</f>
        <v>1.446479611542778</v>
      </c>
      <c r="X400" s="11">
        <f ca="1">(W$400/W$11+IF(X$1&gt;0,X$1*IF(X$4=OFFSET(Choices!$B$10,0,$C$1),SUMPRODUCT(OFFSET(W$400,0,0,1,-OFFSET(Choices!$B$59,0,$C$1)),OFFSET(W$13,0,0,1,-OFFSET(Choices!$B$59,0,$C$1)))/OFFSET(Choices!$B$59,0,$C$1)-W$400/W$11,(W$400/W$11-V$400/V$11)/W$1),0))*X$11</f>
        <v>1.511977265530599</v>
      </c>
      <c r="Y400" s="11">
        <f ca="1">(X$400/X$11+IF(Y$1&gt;0,Y$1*IF(Y$4=OFFSET(Choices!$B$10,0,$C$1),SUMPRODUCT(OFFSET(X$400,0,0,1,-OFFSET(Choices!$B$59,0,$C$1)),OFFSET(X$13,0,0,1,-OFFSET(Choices!$B$59,0,$C$1)))/OFFSET(Choices!$B$59,0,$C$1)-X$400/X$11,(X$400/X$11-W$400/W$11)/X$1),0))*Y$11</f>
        <v>1.5783581422324948</v>
      </c>
      <c r="Z400" s="11">
        <f ca="1">(Y$400/Y$11+IF(Z$1&gt;0,Z$1*IF(Z$4=OFFSET(Choices!$B$10,0,$C$1),SUMPRODUCT(OFFSET(Y$400,0,0,1,-OFFSET(Choices!$B$59,0,$C$1)),OFFSET(Y$13,0,0,1,-OFFSET(Choices!$B$59,0,$C$1)))/OFFSET(Choices!$B$59,0,$C$1)-Y$400/Y$11,(Y$400/Y$11-X$400/X$11)/Y$1),0))*Z$11</f>
        <v>1.6466828173288932</v>
      </c>
      <c r="AA400" s="11">
        <f ca="1">(Z$400/Z$11+IF(AA$1&gt;0,AA$1*IF(AA$4=OFFSET(Choices!$B$10,0,$C$1),SUMPRODUCT(OFFSET(Z$400,0,0,1,-OFFSET(Choices!$B$59,0,$C$1)),OFFSET(Z$13,0,0,1,-OFFSET(Choices!$B$59,0,$C$1)))/OFFSET(Choices!$B$59,0,$C$1)-Z$400/Z$11,(Z$400/Z$11-Y$400/Y$11)/Z$1),0))*AA$11</f>
        <v>1.7169993609390435</v>
      </c>
      <c r="AB400" s="11">
        <f ca="1">(AA$400/AA$11+IF(AB$1&gt;0,AB$1*IF(AB$4=OFFSET(Choices!$B$10,0,$C$1),SUMPRODUCT(OFFSET(AA$400,0,0,1,-OFFSET(Choices!$B$59,0,$C$1)),OFFSET(AA$13,0,0,1,-OFFSET(Choices!$B$59,0,$C$1)))/OFFSET(Choices!$B$59,0,$C$1)-AA$400/AA$11,(AA$400/AA$11-Z$400/Z$11)/AA$1),0))*AB$11</f>
        <v>1.7890362437833549</v>
      </c>
      <c r="AC400" s="11">
        <f ca="1">(AB$400/AB$11+IF(AC$1&gt;0,AC$1*IF(AC$4=OFFSET(Choices!$B$10,0,$C$1),SUMPRODUCT(OFFSET(AB$400,0,0,1,-OFFSET(Choices!$B$59,0,$C$1)),OFFSET(AB$13,0,0,1,-OFFSET(Choices!$B$59,0,$C$1)))/OFFSET(Choices!$B$59,0,$C$1)-AB$400/AB$11,(AB$400/AB$11-AA$400/AA$11)/AB$1),0))*AC$11</f>
        <v>1.8631689014026356</v>
      </c>
    </row>
    <row r="401" spans="1:29" x14ac:dyDescent="0.2">
      <c r="A401" s="31" t="s">
        <v>769</v>
      </c>
      <c r="B401" s="4" t="str">
        <f>$B$46</f>
        <v>From Fiscal Forecasts</v>
      </c>
      <c r="F401" s="23">
        <f>'Fiscal Forecasts'!F$119</f>
        <v>1.5269999999999999</v>
      </c>
      <c r="G401" s="23">
        <f>'Fiscal Forecasts'!G$119</f>
        <v>1.663</v>
      </c>
      <c r="H401" s="23">
        <f>'Fiscal Forecasts'!H$119</f>
        <v>1.63</v>
      </c>
      <c r="I401" s="23">
        <f>'Fiscal Forecasts'!I$119</f>
        <v>1.661</v>
      </c>
      <c r="J401" s="23">
        <f>'Fiscal Forecasts'!J$119</f>
        <v>1.996</v>
      </c>
      <c r="K401" s="23">
        <f>'Fiscal Forecasts'!K$119</f>
        <v>2.1339999999999999</v>
      </c>
      <c r="L401" s="23">
        <f>'Fiscal Forecasts'!L$119</f>
        <v>2.2949999999999999</v>
      </c>
      <c r="M401" s="23">
        <f>'Fiscal Forecasts'!M$119</f>
        <v>2.5099999999999998</v>
      </c>
      <c r="N401" s="23">
        <f>'Fiscal Forecasts'!N$119</f>
        <v>2.3889999999999998</v>
      </c>
      <c r="O401" s="25">
        <f>'Fiscal Forecasts'!O$119</f>
        <v>2.085</v>
      </c>
      <c r="P401" s="25">
        <f>'Fiscal Forecasts'!P$119</f>
        <v>2.12</v>
      </c>
      <c r="Q401" s="25">
        <f>'Fiscal Forecasts'!Q$119</f>
        <v>2.1549999999999998</v>
      </c>
      <c r="R401" s="25">
        <f>'Fiscal Forecasts'!R$119</f>
        <v>2.214</v>
      </c>
      <c r="S401" s="25">
        <f>'Fiscal Forecasts'!S$119</f>
        <v>2.2730000000000001</v>
      </c>
      <c r="T401" s="11">
        <f ca="1">((S$401-S$400)/S$11+IF(T$1&gt;0,T$1*IF(T$4=OFFSET(Choices!$B$10,0,$C$1),(SUMPRODUCT(OFFSET(S$401,0,0,1,-OFFSET(Choices!$B$59,0,$C$1)),OFFSET(S$13,0,0,1,-OFFSET(Choices!$B$59,0,$C$1)))-SUMPRODUCT(OFFSET(S$400,0,0,1,-OFFSET(Choices!$B$59,0,$C$1)),OFFSET(S$13,0,0,1,-OFFSET(Choices!$B$59,0,$C$1))))/OFFSET(Choices!$B$59,0,$C$1)-(S$401-S$400)/S$11,((S$401-S$400)/S$11-(R$401-R$400)/R$11)/S$1),0))*T$11 +T$400</f>
        <v>2.3868268157036403</v>
      </c>
      <c r="U401" s="11">
        <f ca="1">((T$401-T$400)/T$11+IF(U$1&gt;0,U$1*IF(U$4=OFFSET(Choices!$B$10,0,$C$1),(SUMPRODUCT(OFFSET(T$401,0,0,1,-OFFSET(Choices!$B$59,0,$C$1)),OFFSET(T$13,0,0,1,-OFFSET(Choices!$B$59,0,$C$1)))-SUMPRODUCT(OFFSET(T$400,0,0,1,-OFFSET(Choices!$B$59,0,$C$1)),OFFSET(T$13,0,0,1,-OFFSET(Choices!$B$59,0,$C$1))))/OFFSET(Choices!$B$59,0,$C$1)-(T$401-T$400)/T$11,((T$401-T$400)/T$11-(S$401-S$400)/S$11)/T$1),0))*U$11 +U$400</f>
        <v>2.5033944158412975</v>
      </c>
      <c r="V401" s="11">
        <f ca="1">((U$401-U$400)/U$11+IF(V$1&gt;0,V$1*IF(V$4=OFFSET(Choices!$B$10,0,$C$1),(SUMPRODUCT(OFFSET(U$401,0,0,1,-OFFSET(Choices!$B$59,0,$C$1)),OFFSET(U$13,0,0,1,-OFFSET(Choices!$B$59,0,$C$1)))-SUMPRODUCT(OFFSET(U$400,0,0,1,-OFFSET(Choices!$B$59,0,$C$1)),OFFSET(U$13,0,0,1,-OFFSET(Choices!$B$59,0,$C$1))))/OFFSET(Choices!$B$59,0,$C$1)-(U$401-U$400)/U$11,((U$401-U$400)/U$11-(T$401-T$400)/T$11)/U$1),0))*V$11 +V$400</f>
        <v>2.6242036586454063</v>
      </c>
      <c r="W401" s="11">
        <f ca="1">((V$401-V$400)/V$11+IF(W$1&gt;0,W$1*IF(W$4=OFFSET(Choices!$B$10,0,$C$1),(SUMPRODUCT(OFFSET(V$401,0,0,1,-OFFSET(Choices!$B$59,0,$C$1)),OFFSET(V$13,0,0,1,-OFFSET(Choices!$B$59,0,$C$1)))-SUMPRODUCT(OFFSET(V$400,0,0,1,-OFFSET(Choices!$B$59,0,$C$1)),OFFSET(V$13,0,0,1,-OFFSET(Choices!$B$59,0,$C$1))))/OFFSET(Choices!$B$59,0,$C$1)-(V$401-V$400)/V$11,((V$401-V$400)/V$11-(U$401-U$400)/U$11)/V$1),0))*W$11 +W$400</f>
        <v>2.7470061176471203</v>
      </c>
      <c r="X401" s="11">
        <f ca="1">((W$401-W$400)/W$11+IF(X$1&gt;0,X$1*IF(X$4=OFFSET(Choices!$B$10,0,$C$1),(SUMPRODUCT(OFFSET(W$401,0,0,1,-OFFSET(Choices!$B$59,0,$C$1)),OFFSET(W$13,0,0,1,-OFFSET(Choices!$B$59,0,$C$1)))-SUMPRODUCT(OFFSET(W$400,0,0,1,-OFFSET(Choices!$B$59,0,$C$1)),OFFSET(W$13,0,0,1,-OFFSET(Choices!$B$59,0,$C$1))))/OFFSET(Choices!$B$59,0,$C$1)-(W$401-W$400)/W$11,((W$401-W$400)/W$11-(V$401-V$400)/V$11)/W$1),0))*X$11 +X$400</f>
        <v>2.8720867290641272</v>
      </c>
      <c r="Y401" s="11">
        <f ca="1">((X$401-X$400)/X$11+IF(Y$1&gt;0,Y$1*IF(Y$4=OFFSET(Choices!$B$10,0,$C$1),(SUMPRODUCT(OFFSET(X$401,0,0,1,-OFFSET(Choices!$B$59,0,$C$1)),OFFSET(X$13,0,0,1,-OFFSET(Choices!$B$59,0,$C$1)))-SUMPRODUCT(OFFSET(X$400,0,0,1,-OFFSET(Choices!$B$59,0,$C$1)),OFFSET(X$13,0,0,1,-OFFSET(Choices!$B$59,0,$C$1))))/OFFSET(Choices!$B$59,0,$C$1)-(X$401-X$400)/X$11,((X$401-X$400)/X$11-(W$401-W$400)/W$11)/X$1),0))*Y$11 +Y$400</f>
        <v>2.9981809762367204</v>
      </c>
      <c r="Z401" s="11">
        <f ca="1">((Y$401-Y$400)/Y$11+IF(Z$1&gt;0,Z$1*IF(Z$4=OFFSET(Choices!$B$10,0,$C$1),(SUMPRODUCT(OFFSET(Y$401,0,0,1,-OFFSET(Choices!$B$59,0,$C$1)),OFFSET(Y$13,0,0,1,-OFFSET(Choices!$B$59,0,$C$1)))-SUMPRODUCT(OFFSET(Y$400,0,0,1,-OFFSET(Choices!$B$59,0,$C$1)),OFFSET(Y$13,0,0,1,-OFFSET(Choices!$B$59,0,$C$1))))/OFFSET(Choices!$B$59,0,$C$1)-(Y$401-Y$400)/Y$11,((Y$401-Y$400)/Y$11-(X$401-X$400)/X$11)/Y$1),0))*Z$11 +Z$400</f>
        <v>3.1279675789096908</v>
      </c>
      <c r="AA401" s="11">
        <f ca="1">((Z$401-Z$400)/Z$11+IF(AA$1&gt;0,AA$1*IF(AA$4=OFFSET(Choices!$B$10,0,$C$1),(SUMPRODUCT(OFFSET(Z$401,0,0,1,-OFFSET(Choices!$B$59,0,$C$1)),OFFSET(Z$13,0,0,1,-OFFSET(Choices!$B$59,0,$C$1)))-SUMPRODUCT(OFFSET(Z$400,0,0,1,-OFFSET(Choices!$B$59,0,$C$1)),OFFSET(Z$13,0,0,1,-OFFSET(Choices!$B$59,0,$C$1))))/OFFSET(Choices!$B$59,0,$C$1)-(Z$401-Z$400)/Z$11,((Z$401-Z$400)/Z$11-(Y$401-Y$400)/Y$11)/Z$1),0))*AA$11 +AA$400</f>
        <v>3.2615378490059808</v>
      </c>
      <c r="AB401" s="11">
        <f ca="1">((AA$401-AA$400)/AA$11+IF(AB$1&gt;0,AB$1*IF(AB$4=OFFSET(Choices!$B$10,0,$C$1),(SUMPRODUCT(OFFSET(AA$401,0,0,1,-OFFSET(Choices!$B$59,0,$C$1)),OFFSET(AA$13,0,0,1,-OFFSET(Choices!$B$59,0,$C$1)))-SUMPRODUCT(OFFSET(AA$400,0,0,1,-OFFSET(Choices!$B$59,0,$C$1)),OFFSET(AA$13,0,0,1,-OFFSET(Choices!$B$59,0,$C$1))))/OFFSET(Choices!$B$59,0,$C$1)-(AA$401-AA$400)/AA$11,((AA$401-AA$400)/AA$11-(Z$401-Z$400)/Z$11)/AA$1),0))*AB$11 +AB$400</f>
        <v>3.3983760012302389</v>
      </c>
      <c r="AC401" s="11">
        <f ca="1">((AB$401-AB$400)/AB$11+IF(AC$1&gt;0,AC$1*IF(AC$4=OFFSET(Choices!$B$10,0,$C$1),(SUMPRODUCT(OFFSET(AB$401,0,0,1,-OFFSET(Choices!$B$59,0,$C$1)),OFFSET(AB$13,0,0,1,-OFFSET(Choices!$B$59,0,$C$1)))-SUMPRODUCT(OFFSET(AB$400,0,0,1,-OFFSET(Choices!$B$59,0,$C$1)),OFFSET(AB$13,0,0,1,-OFFSET(Choices!$B$59,0,$C$1))))/OFFSET(Choices!$B$59,0,$C$1)-(AB$401-AB$400)/AB$11,((AB$401-AB$400)/AB$11-(AA$401-AA$400)/AA$11)/AB$1),0))*AC$11 +AC$400</f>
        <v>3.5391951967251343</v>
      </c>
    </row>
    <row r="403" spans="1:29" x14ac:dyDescent="0.2">
      <c r="A403" s="31" t="s">
        <v>351</v>
      </c>
    </row>
    <row r="404" spans="1:29" x14ac:dyDescent="0.2">
      <c r="A404" s="3" t="s">
        <v>412</v>
      </c>
      <c r="B404" s="4" t="str">
        <f>$B$46</f>
        <v>From Fiscal Forecasts</v>
      </c>
      <c r="F404" s="21">
        <f>'Fiscal Forecasts'!F$343</f>
        <v>26.215</v>
      </c>
      <c r="G404" s="21">
        <f>'Fiscal Forecasts'!G$343</f>
        <v>28.637</v>
      </c>
      <c r="H404" s="21">
        <f>'Fiscal Forecasts'!H$343</f>
        <v>30.486999999999998</v>
      </c>
      <c r="I404" s="21">
        <f>'Fiscal Forecasts'!I$343</f>
        <v>29.986000000000001</v>
      </c>
      <c r="J404" s="21">
        <f>'Fiscal Forecasts'!J$343</f>
        <v>29.548999999999999</v>
      </c>
      <c r="K404" s="21">
        <f>'Fiscal Forecasts'!K$343</f>
        <v>29.376999999999999</v>
      </c>
      <c r="L404" s="21">
        <f>'Fiscal Forecasts'!L$343</f>
        <v>29.507000000000001</v>
      </c>
      <c r="M404" s="21">
        <f>'Fiscal Forecasts'!M$343</f>
        <v>30.963000000000001</v>
      </c>
      <c r="N404" s="21">
        <f>'Fiscal Forecasts'!N$343</f>
        <v>32.289000000000001</v>
      </c>
      <c r="O404" s="24">
        <f>'Fiscal Forecasts'!O$343</f>
        <v>33.795000000000002</v>
      </c>
      <c r="P404" s="24">
        <f>'Fiscal Forecasts'!P$343</f>
        <v>35.167000000000002</v>
      </c>
      <c r="Q404" s="24">
        <f>'Fiscal Forecasts'!Q$343</f>
        <v>35.536999999999999</v>
      </c>
      <c r="R404" s="24">
        <f>'Fiscal Forecasts'!R$343</f>
        <v>35.704000000000001</v>
      </c>
      <c r="S404" s="24">
        <f>'Fiscal Forecasts'!S$343</f>
        <v>35.847999999999999</v>
      </c>
      <c r="T404" s="26">
        <f t="shared" ref="T404:AC404" ca="1" si="212">SUM(S$404,T$408)-SUM(T$409,T$410)</f>
        <v>35.949031767635212</v>
      </c>
      <c r="U404" s="26">
        <f t="shared" ca="1" si="212"/>
        <v>36.059191004958372</v>
      </c>
      <c r="V404" s="26">
        <f t="shared" ca="1" si="212"/>
        <v>36.305889462777941</v>
      </c>
      <c r="W404" s="26">
        <f t="shared" ca="1" si="212"/>
        <v>36.558877540941481</v>
      </c>
      <c r="X404" s="26">
        <f t="shared" ca="1" si="212"/>
        <v>36.81769047443359</v>
      </c>
      <c r="Y404" s="26">
        <f t="shared" ca="1" si="212"/>
        <v>37.08025100219718</v>
      </c>
      <c r="Z404" s="26">
        <f t="shared" ca="1" si="212"/>
        <v>37.344684544997918</v>
      </c>
      <c r="AA404" s="26">
        <f t="shared" ca="1" si="212"/>
        <v>37.610636428408299</v>
      </c>
      <c r="AB404" s="26">
        <f t="shared" ca="1" si="212"/>
        <v>37.878057163440758</v>
      </c>
      <c r="AC404" s="26">
        <f t="shared" ca="1" si="212"/>
        <v>38.148758833766522</v>
      </c>
    </row>
    <row r="405" spans="1:29" x14ac:dyDescent="0.2">
      <c r="A405" s="3" t="s">
        <v>413</v>
      </c>
      <c r="B405" s="4" t="str">
        <f>$B$46</f>
        <v>From Fiscal Forecasts</v>
      </c>
      <c r="F405" s="21">
        <f>'Fiscal Forecasts'!F$344</f>
        <v>41.295999999999999</v>
      </c>
      <c r="G405" s="21">
        <f>'Fiscal Forecasts'!G$344</f>
        <v>43.658999999999999</v>
      </c>
      <c r="H405" s="21">
        <f>'Fiscal Forecasts'!H$344</f>
        <v>46.552999999999997</v>
      </c>
      <c r="I405" s="21">
        <f>'Fiscal Forecasts'!I$344</f>
        <v>48.109000000000002</v>
      </c>
      <c r="J405" s="21">
        <f>'Fiscal Forecasts'!J$344</f>
        <v>48.48</v>
      </c>
      <c r="K405" s="21">
        <f>'Fiscal Forecasts'!K$344</f>
        <v>49.939</v>
      </c>
      <c r="L405" s="21">
        <f>'Fiscal Forecasts'!L$344</f>
        <v>51.823</v>
      </c>
      <c r="M405" s="21">
        <f>'Fiscal Forecasts'!M$344</f>
        <v>56.802</v>
      </c>
      <c r="N405" s="21">
        <f>'Fiscal Forecasts'!N$344</f>
        <v>61.417000000000002</v>
      </c>
      <c r="O405" s="24">
        <f>'Fiscal Forecasts'!O$344</f>
        <v>63.587000000000003</v>
      </c>
      <c r="P405" s="24">
        <f>'Fiscal Forecasts'!P$344</f>
        <v>65.304000000000002</v>
      </c>
      <c r="Q405" s="24">
        <f>'Fiscal Forecasts'!Q$344</f>
        <v>66.893000000000001</v>
      </c>
      <c r="R405" s="24">
        <f>'Fiscal Forecasts'!R$344</f>
        <v>68.456000000000003</v>
      </c>
      <c r="S405" s="24">
        <f>'Fiscal Forecasts'!S$344</f>
        <v>69.468000000000004</v>
      </c>
      <c r="T405" s="26">
        <f ca="1">IF(T$4=OFFSET(Choices!$B$10,0,$C$1),AVERAGE(Q$405/SUM(Q$405:Q$406),R$405/SUM(R$405:R$406),S$405/SUM(S$405:S$406)),S$405/SUM(S$405:S$406))*(SUM(S$405:S$406,T$411-T$408)-SUM(T$412-T$409,T$413-T$410))</f>
        <v>69.44823671529862</v>
      </c>
      <c r="U405" s="26">
        <f ca="1">IF(U$4=OFFSET(Choices!$B$10,0,$C$1),AVERAGE(R$405/SUM(R$405:R$406),S$405/SUM(S$405:S$406),T$405/SUM(T$405:T$406)),T$405/SUM(T$405:T$406))*(SUM(T$405:T$406,U$411-U$408)-SUM(U$412-U$409,U$413-U$410))</f>
        <v>70.111098728248777</v>
      </c>
      <c r="V405" s="26">
        <f ca="1">IF(V$4=OFFSET(Choices!$B$10,0,$C$1),AVERAGE(S$405/SUM(S$405:S$406),T$405/SUM(T$405:T$406),U$405/SUM(U$405:U$406)),U$405/SUM(U$405:U$406))*(SUM(U$405:U$406,V$411-V$408)-SUM(V$412-V$409,V$413-V$410))</f>
        <v>70.889785969534955</v>
      </c>
      <c r="W405" s="26">
        <f ca="1">IF(W$4=OFFSET(Choices!$B$10,0,$C$1),AVERAGE(T$405/SUM(T$405:T$406),U$405/SUM(U$405:U$406),V$405/SUM(V$405:V$406)),V$405/SUM(V$405:V$406))*(SUM(V$405:V$406,W$411-W$408)-SUM(W$412-W$409,W$413-W$410))</f>
        <v>71.785365184673651</v>
      </c>
      <c r="X405" s="26">
        <f ca="1">IF(X$4=OFFSET(Choices!$B$10,0,$C$1),AVERAGE(U$405/SUM(U$405:U$406),V$405/SUM(V$405:V$406),W$405/SUM(W$405:W$406)),W$405/SUM(W$405:W$406))*(SUM(W$405:W$406,X$411-X$408)-SUM(X$412-X$409,X$413-X$410))</f>
        <v>72.799642331627012</v>
      </c>
      <c r="Y405" s="26">
        <f ca="1">IF(Y$4=OFFSET(Choices!$B$10,0,$C$1),AVERAGE(V$405/SUM(V$405:V$406),W$405/SUM(W$405:W$406),X$405/SUM(X$405:X$406)),X$405/SUM(X$405:X$406))*(SUM(X$405:X$406,Y$411-Y$408)-SUM(Y$412-Y$409,Y$413-Y$410))</f>
        <v>73.933270235034328</v>
      </c>
      <c r="Z405" s="26">
        <f ca="1">IF(Z$4=OFFSET(Choices!$B$10,0,$C$1),AVERAGE(W$405/SUM(W$405:W$406),X$405/SUM(X$405:X$406),Y$405/SUM(Y$405:Y$406)),Y$405/SUM(Y$405:Y$406))*(SUM(Y$405:Y$406,Z$411-Z$408)-SUM(Z$412-Z$409,Z$413-Z$410))</f>
        <v>75.186564149823141</v>
      </c>
      <c r="AA405" s="26">
        <f ca="1">IF(AA$4=OFFSET(Choices!$B$10,0,$C$1),AVERAGE(X$405/SUM(X$405:X$406),Y$405/SUM(Y$405:Y$406),Z$405/SUM(Z$405:Z$406)),Z$405/SUM(Z$405:Z$406))*(SUM(Z$405:Z$406,AA$411-AA$408)-SUM(AA$412-AA$409,AA$413-AA$410))</f>
        <v>76.559940373204014</v>
      </c>
      <c r="AB405" s="26">
        <f ca="1">IF(AB$4=OFFSET(Choices!$B$10,0,$C$1),AVERAGE(Y$405/SUM(Y$405:Y$406),Z$405/SUM(Z$405:Z$406),AA$405/SUM(AA$405:AA$406)),AA$405/SUM(AA$405:AA$406))*(SUM(AA$405:AA$406,AB$411-AB$408)-SUM(AB$412-AB$409,AB$413-AB$410))</f>
        <v>78.053168543722876</v>
      </c>
      <c r="AC405" s="26">
        <f ca="1">IF(AC$4=OFFSET(Choices!$B$10,0,$C$1),AVERAGE(Z$405/SUM(Z$405:Z$406),AA$405/SUM(AA$405:AA$406),AB$405/SUM(AB$405:AB$406)),AB$405/SUM(AB$405:AB$406))*(SUM(AB$405:AB$406,AC$411-AC$408)-SUM(AC$412-AC$409,AC$413-AC$410))</f>
        <v>79.666900877512646</v>
      </c>
    </row>
    <row r="406" spans="1:29" x14ac:dyDescent="0.2">
      <c r="A406" s="3" t="s">
        <v>414</v>
      </c>
      <c r="B406" s="4" t="str">
        <f>$B$46</f>
        <v>From Fiscal Forecasts</v>
      </c>
      <c r="F406" s="21">
        <f>'Fiscal Forecasts'!F$345</f>
        <v>28.087</v>
      </c>
      <c r="G406" s="21">
        <f>'Fiscal Forecasts'!G$345</f>
        <v>31.033000000000001</v>
      </c>
      <c r="H406" s="21">
        <f>'Fiscal Forecasts'!H$345</f>
        <v>33.094999999999999</v>
      </c>
      <c r="I406" s="21">
        <f>'Fiscal Forecasts'!I$345</f>
        <v>35.234999999999999</v>
      </c>
      <c r="J406" s="21">
        <f>'Fiscal Forecasts'!J$345</f>
        <v>36.825000000000003</v>
      </c>
      <c r="K406" s="21">
        <f>'Fiscal Forecasts'!K$345</f>
        <v>29.268000000000001</v>
      </c>
      <c r="L406" s="21">
        <f>'Fiscal Forecasts'!L$345</f>
        <v>28.503</v>
      </c>
      <c r="M406" s="21">
        <f>'Fiscal Forecasts'!M$345</f>
        <v>28.541</v>
      </c>
      <c r="N406" s="21">
        <f>'Fiscal Forecasts'!N$345</f>
        <v>30.852</v>
      </c>
      <c r="O406" s="24">
        <f>'Fiscal Forecasts'!O$345</f>
        <v>31.09</v>
      </c>
      <c r="P406" s="24">
        <f>'Fiscal Forecasts'!P$345</f>
        <v>31.443999999999999</v>
      </c>
      <c r="Q406" s="24">
        <f>'Fiscal Forecasts'!Q$345</f>
        <v>31.658000000000001</v>
      </c>
      <c r="R406" s="24">
        <f>'Fiscal Forecasts'!R$345</f>
        <v>31.635999999999999</v>
      </c>
      <c r="S406" s="24">
        <f>'Fiscal Forecasts'!S$345</f>
        <v>31.233000000000001</v>
      </c>
      <c r="T406" s="26">
        <f ca="1">IF(T$4=OFFSET(Choices!$B$10,0,$C$1),AVERAGE(Q$406/SUM(Q$405:Q$406),R$406/SUM(R$405:R$406),S$406/SUM(S$405:S$406)),S$406/SUM(S$405:S$406))*(SUM(S$405:S$406,T$411-T$408)-SUM(T$412-T$409,T$413-T$410))</f>
        <v>32.057546944960173</v>
      </c>
      <c r="U406" s="26">
        <f ca="1">IF(U$4=OFFSET(Choices!$B$10,0,$C$1),AVERAGE(R$406/SUM(R$405:R$406),S$406/SUM(S$405:S$406),T$406/SUM(T$405:T$406)),T$406/SUM(T$405:T$406))*(SUM(T$405:T$406,U$411-U$408)-SUM(U$412-U$409,U$413-U$410))</f>
        <v>32.36352634923638</v>
      </c>
      <c r="V406" s="26">
        <f ca="1">IF(V$4=OFFSET(Choices!$B$10,0,$C$1),AVERAGE(S$406/SUM(S$405:S$406),T$406/SUM(T$405:T$406),U$406/SUM(U$405:U$406)),U$406/SUM(U$405:U$406))*(SUM(U$405:U$406,V$411-V$408)-SUM(V$412-V$409,V$413-V$410))</f>
        <v>32.722971080645586</v>
      </c>
      <c r="W406" s="26">
        <f ca="1">IF(W$4=OFFSET(Choices!$B$10,0,$C$1),AVERAGE(T$406/SUM(T$405:T$406),U$406/SUM(U$405:U$406),V$406/SUM(V$405:V$406)),V$406/SUM(V$405:V$406))*(SUM(V$405:V$406,W$411-W$408)-SUM(W$412-W$409,W$413-W$410))</f>
        <v>33.136373552618139</v>
      </c>
      <c r="X406" s="26">
        <f ca="1">IF(X$4=OFFSET(Choices!$B$10,0,$C$1),AVERAGE(U$406/SUM(U$405:U$406),V$406/SUM(V$405:V$406),W$406/SUM(W$405:W$406)),W$406/SUM(W$405:W$406))*(SUM(W$405:W$406,X$411-X$408)-SUM(X$412-X$409,X$413-X$410))</f>
        <v>33.604567401613231</v>
      </c>
      <c r="Y406" s="26">
        <f ca="1">IF(Y$4=OFFSET(Choices!$B$10,0,$C$1),AVERAGE(V$406/SUM(V$405:V$406),W$406/SUM(W$405:W$406),X$406/SUM(X$405:X$406)),X$406/SUM(X$405:X$406))*(SUM(X$405:X$406,Y$411-Y$408)-SUM(Y$412-Y$409,Y$413-Y$410))</f>
        <v>34.127853973748643</v>
      </c>
      <c r="Z406" s="26">
        <f ca="1">IF(Z$4=OFFSET(Choices!$B$10,0,$C$1),AVERAGE(W$406/SUM(W$405:W$406),X$406/SUM(X$405:X$406),Y$406/SUM(Y$405:Y$406)),Y$406/SUM(Y$405:Y$406))*(SUM(Y$405:Y$406,Z$411-Z$408)-SUM(Z$412-Z$409,Z$413-Z$410))</f>
        <v>34.706378791792368</v>
      </c>
      <c r="AA406" s="26">
        <f ca="1">IF(AA$4=OFFSET(Choices!$B$10,0,$C$1),AVERAGE(X$406/SUM(X$405:X$406),Y$406/SUM(Y$405:Y$406),Z$406/SUM(Z$405:Z$406)),Z$406/SUM(Z$405:Z$406))*(SUM(Z$405:Z$406,AA$411-AA$408)-SUM(AA$412-AA$409,AA$413-AA$410))</f>
        <v>35.340334019980702</v>
      </c>
      <c r="AB406" s="26">
        <f ca="1">IF(AB$4=OFFSET(Choices!$B$10,0,$C$1),AVERAGE(Y$406/SUM(Y$405:Y$406),Z$406/SUM(Z$405:Z$406),AA$406/SUM(AA$405:AA$406)),AA$406/SUM(AA$405:AA$406))*(SUM(AA$405:AA$406,AB$411-AB$408)-SUM(AB$412-AB$409,AB$413-AB$410))</f>
        <v>36.029613322667451</v>
      </c>
      <c r="AC406" s="26">
        <f ca="1">IF(AC$4=OFFSET(Choices!$B$10,0,$C$1),AVERAGE(Z$406/SUM(Z$405:Z$406),AA$406/SUM(AA$405:AA$406),AB$406/SUM(AB$405:AB$406)),AB$406/SUM(AB$405:AB$406))*(SUM(AB$405:AB$406,AC$411-AC$408)-SUM(AC$412-AC$409,AC$413-AC$410))</f>
        <v>36.774517765081747</v>
      </c>
    </row>
    <row r="407" spans="1:29" x14ac:dyDescent="0.2">
      <c r="A407" s="31" t="s">
        <v>722</v>
      </c>
      <c r="F407" s="56">
        <f>SUM(F$404:F$406)</f>
        <v>95.597999999999999</v>
      </c>
      <c r="G407" s="56">
        <f t="shared" ref="G407:AC407" si="213">SUM(G$404:G$406)</f>
        <v>103.32899999999999</v>
      </c>
      <c r="H407" s="56">
        <f t="shared" si="213"/>
        <v>110.13499999999999</v>
      </c>
      <c r="I407" s="56">
        <f t="shared" si="213"/>
        <v>113.33</v>
      </c>
      <c r="J407" s="56">
        <f t="shared" si="213"/>
        <v>114.854</v>
      </c>
      <c r="K407" s="56">
        <f t="shared" si="213"/>
        <v>108.584</v>
      </c>
      <c r="L407" s="56">
        <f t="shared" si="213"/>
        <v>109.833</v>
      </c>
      <c r="M407" s="56">
        <f t="shared" si="213"/>
        <v>116.306</v>
      </c>
      <c r="N407" s="56">
        <f t="shared" si="213"/>
        <v>124.55800000000001</v>
      </c>
      <c r="O407" s="57">
        <f t="shared" si="213"/>
        <v>128.47200000000001</v>
      </c>
      <c r="P407" s="57">
        <f t="shared" si="213"/>
        <v>131.91499999999999</v>
      </c>
      <c r="Q407" s="57">
        <f t="shared" si="213"/>
        <v>134.08800000000002</v>
      </c>
      <c r="R407" s="57">
        <f t="shared" si="213"/>
        <v>135.79599999999999</v>
      </c>
      <c r="S407" s="57">
        <f t="shared" si="213"/>
        <v>136.54900000000001</v>
      </c>
      <c r="T407" s="58">
        <f t="shared" ca="1" si="213"/>
        <v>137.454815427894</v>
      </c>
      <c r="U407" s="58">
        <f t="shared" ca="1" si="213"/>
        <v>138.53381608244354</v>
      </c>
      <c r="V407" s="58">
        <f t="shared" ca="1" si="213"/>
        <v>139.91864651295847</v>
      </c>
      <c r="W407" s="58">
        <f t="shared" ca="1" si="213"/>
        <v>141.48061627823327</v>
      </c>
      <c r="X407" s="58">
        <f t="shared" ca="1" si="213"/>
        <v>143.22190020767383</v>
      </c>
      <c r="Y407" s="58">
        <f t="shared" ca="1" si="213"/>
        <v>145.14137521098016</v>
      </c>
      <c r="Z407" s="58">
        <f t="shared" ca="1" si="213"/>
        <v>147.23762748661343</v>
      </c>
      <c r="AA407" s="58">
        <f t="shared" ca="1" si="213"/>
        <v>149.51091082159303</v>
      </c>
      <c r="AB407" s="58">
        <f t="shared" ca="1" si="213"/>
        <v>151.96083902983108</v>
      </c>
      <c r="AC407" s="58">
        <f t="shared" ca="1" si="213"/>
        <v>154.59017747636091</v>
      </c>
    </row>
    <row r="408" spans="1:29" x14ac:dyDescent="0.2">
      <c r="A408" s="3" t="s">
        <v>743</v>
      </c>
      <c r="F408" s="71">
        <f>ROUND(F$411*F$404/SUM(F$404:F$406),3)</f>
        <v>2.1019999999999999</v>
      </c>
      <c r="G408" s="21">
        <f>SUM(G$404-F$404,G$409,G$410)</f>
        <v>2.6740000000000004</v>
      </c>
      <c r="H408" s="21">
        <f t="shared" ref="H408:S408" si="214">SUM(H$404-G$404,H$409,H$410)</f>
        <v>1.9359999999999977</v>
      </c>
      <c r="I408" s="21">
        <f t="shared" si="214"/>
        <v>-0.18399999999999772</v>
      </c>
      <c r="J408" s="21">
        <f t="shared" si="214"/>
        <v>-0.14500000000000124</v>
      </c>
      <c r="K408" s="21">
        <f t="shared" si="214"/>
        <v>0.20299999999999929</v>
      </c>
      <c r="L408" s="21">
        <f t="shared" si="214"/>
        <v>8.4000000000002628E-2</v>
      </c>
      <c r="M408" s="21">
        <f t="shared" si="214"/>
        <v>1.5039999999999996</v>
      </c>
      <c r="N408" s="21">
        <f t="shared" si="214"/>
        <v>1.5800000000000005</v>
      </c>
      <c r="O408" s="24">
        <f t="shared" si="214"/>
        <v>2.593</v>
      </c>
      <c r="P408" s="24">
        <f t="shared" si="214"/>
        <v>2.3919999999999999</v>
      </c>
      <c r="Q408" s="24">
        <f t="shared" si="214"/>
        <v>1.5099999999999976</v>
      </c>
      <c r="R408" s="24">
        <f t="shared" si="214"/>
        <v>1.4010000000000016</v>
      </c>
      <c r="S408" s="24">
        <f t="shared" si="214"/>
        <v>1.3929999999999982</v>
      </c>
      <c r="T408" s="26">
        <f t="shared" ref="T408:AC408" ca="1" si="215">SUM(T$409,T$410,T$372-S$372)</f>
        <v>1.3975171735337732</v>
      </c>
      <c r="U408" s="26">
        <f t="shared" ca="1" si="215"/>
        <v>1.445357336792281</v>
      </c>
      <c r="V408" s="26">
        <f t="shared" ca="1" si="215"/>
        <v>1.6202380663311009</v>
      </c>
      <c r="W408" s="26">
        <f t="shared" ca="1" si="215"/>
        <v>1.6689821149758135</v>
      </c>
      <c r="X408" s="26">
        <f t="shared" ca="1" si="215"/>
        <v>1.7165574862467605</v>
      </c>
      <c r="Y408" s="26">
        <f t="shared" ca="1" si="215"/>
        <v>1.7629165247247731</v>
      </c>
      <c r="Z408" s="26">
        <f t="shared" ca="1" si="215"/>
        <v>1.8082048161103701</v>
      </c>
      <c r="AA408" s="26">
        <f t="shared" ca="1" si="215"/>
        <v>1.8538923004825891</v>
      </c>
      <c r="AB408" s="26">
        <f t="shared" ca="1" si="215"/>
        <v>1.9002859568638035</v>
      </c>
      <c r="AC408" s="26">
        <f t="shared" ca="1" si="215"/>
        <v>1.9492597659763933</v>
      </c>
    </row>
    <row r="409" spans="1:29" x14ac:dyDescent="0.2">
      <c r="A409" s="3" t="s">
        <v>848</v>
      </c>
      <c r="F409" s="21">
        <f>ROUND(F$412*F$404/SUM(F$404:F$406),3)</f>
        <v>-0.47199999999999998</v>
      </c>
      <c r="G409" s="21">
        <f t="shared" ref="G409:S409" si="216">ROUND(G$412*G$404/SUM(G$404:G$406),3)</f>
        <v>-0.6</v>
      </c>
      <c r="H409" s="21">
        <f t="shared" si="216"/>
        <v>-0.86599999999999999</v>
      </c>
      <c r="I409" s="21">
        <f t="shared" si="216"/>
        <v>-0.63100000000000001</v>
      </c>
      <c r="J409" s="21">
        <f t="shared" si="216"/>
        <v>-0.66700000000000004</v>
      </c>
      <c r="K409" s="21">
        <f t="shared" si="216"/>
        <v>-0.65400000000000003</v>
      </c>
      <c r="L409" s="21">
        <f t="shared" si="216"/>
        <v>-1.0389999999999999</v>
      </c>
      <c r="M409" s="21">
        <f t="shared" si="216"/>
        <v>-0.96499999999999997</v>
      </c>
      <c r="N409" s="21">
        <f t="shared" si="216"/>
        <v>-0.75</v>
      </c>
      <c r="O409" s="24">
        <f t="shared" si="216"/>
        <v>-4.2000000000000003E-2</v>
      </c>
      <c r="P409" s="24">
        <f t="shared" si="216"/>
        <v>-0.16600000000000001</v>
      </c>
      <c r="Q409" s="24">
        <f t="shared" si="216"/>
        <v>-8.5999999999999993E-2</v>
      </c>
      <c r="R409" s="24">
        <f t="shared" si="216"/>
        <v>-1.4999999999999999E-2</v>
      </c>
      <c r="S409" s="24">
        <f t="shared" si="216"/>
        <v>-1.6E-2</v>
      </c>
      <c r="T409" s="26">
        <f t="shared" ref="T409:AC409" ca="1" si="217">S$409*T$29/S$29</f>
        <v>-1.6326301158301158E-2</v>
      </c>
      <c r="U409" s="26">
        <f t="shared" ca="1" si="217"/>
        <v>-1.6652827181467184E-2</v>
      </c>
      <c r="V409" s="26">
        <f t="shared" ca="1" si="217"/>
        <v>-1.6985883725096528E-2</v>
      </c>
      <c r="W409" s="26">
        <f t="shared" ca="1" si="217"/>
        <v>-1.7325601399598458E-2</v>
      </c>
      <c r="X409" s="26">
        <f t="shared" ca="1" si="217"/>
        <v>-1.7672113427590428E-2</v>
      </c>
      <c r="Y409" s="26">
        <f t="shared" ca="1" si="217"/>
        <v>-1.8025555696142236E-2</v>
      </c>
      <c r="Z409" s="26">
        <f t="shared" ca="1" si="217"/>
        <v>-1.8386066810065081E-2</v>
      </c>
      <c r="AA409" s="26">
        <f t="shared" ca="1" si="217"/>
        <v>-1.8753788146266381E-2</v>
      </c>
      <c r="AB409" s="26">
        <f t="shared" ca="1" si="217"/>
        <v>-1.9128863909191711E-2</v>
      </c>
      <c r="AC409" s="26">
        <f t="shared" ca="1" si="217"/>
        <v>-1.9511441187375543E-2</v>
      </c>
    </row>
    <row r="410" spans="1:29" x14ac:dyDescent="0.2">
      <c r="A410" s="3" t="s">
        <v>745</v>
      </c>
      <c r="F410" s="21">
        <f>ROUND(F$413*F$404/SUM(F$404:F$406),3)</f>
        <v>0.79800000000000004</v>
      </c>
      <c r="G410" s="21">
        <f>ROUND(G$413*G$404/SUM(G$404:G$406),3)</f>
        <v>0.85199999999999998</v>
      </c>
      <c r="H410" s="21">
        <f t="shared" ref="H410:S410" si="218">ROUND(H$413*H$404/SUM(H$404:H$406),3)</f>
        <v>0.95199999999999996</v>
      </c>
      <c r="I410" s="21">
        <f t="shared" si="218"/>
        <v>0.94799999999999995</v>
      </c>
      <c r="J410" s="21">
        <f t="shared" si="218"/>
        <v>0.95899999999999996</v>
      </c>
      <c r="K410" s="21">
        <f t="shared" si="218"/>
        <v>1.0289999999999999</v>
      </c>
      <c r="L410" s="21">
        <f t="shared" si="218"/>
        <v>0.99299999999999999</v>
      </c>
      <c r="M410" s="21">
        <f t="shared" si="218"/>
        <v>1.0129999999999999</v>
      </c>
      <c r="N410" s="21">
        <f t="shared" si="218"/>
        <v>1.004</v>
      </c>
      <c r="O410" s="24">
        <f t="shared" si="218"/>
        <v>1.129</v>
      </c>
      <c r="P410" s="24">
        <f t="shared" si="218"/>
        <v>1.1859999999999999</v>
      </c>
      <c r="Q410" s="24">
        <f t="shared" si="218"/>
        <v>1.226</v>
      </c>
      <c r="R410" s="24">
        <f t="shared" si="218"/>
        <v>1.2490000000000001</v>
      </c>
      <c r="S410" s="24">
        <f t="shared" si="218"/>
        <v>1.2649999999999999</v>
      </c>
      <c r="T410" s="26">
        <f ca="1">IF(T$4=OFFSET(Choices!$B$10,0,$C$1),AVERAGE(Q$410/SUM(P$404,P$323,P$324),R$410/SUM(Q$404,Q$323,Q$324),S$410/SUM(R$404,R$323,R$324)),S$410/SUM(R$404,R$323,R$324))*SUM(S$404,S$323,S$324)</f>
        <v>1.3128117070568559</v>
      </c>
      <c r="U410" s="26">
        <f ca="1">IF(U$4=OFFSET(Choices!$B$10,0,$C$1),AVERAGE(R$410/SUM(Q$404,Q$323,Q$324),S$410/SUM(R$404,R$323,R$324),T$410/SUM(S$404,S$323,S$324)),T$410/SUM(S$404,S$323,S$324))*SUM(T$404,T$323,T$324)</f>
        <v>1.3518509266505943</v>
      </c>
      <c r="V410" s="26">
        <f ca="1">IF(V$4=OFFSET(Choices!$B$10,0,$C$1),AVERAGE(S$410/SUM(R$404,R$323,R$324),T$410/SUM(S$404,S$323,S$324),U$410/SUM(T$404,T$323,T$324)),U$410/SUM(T$404,T$323,T$324))*SUM(U$404,U$323,U$324)</f>
        <v>1.3905254922366266</v>
      </c>
      <c r="W410" s="26">
        <f ca="1">IF(W$4=OFFSET(Choices!$B$10,0,$C$1),AVERAGE(T$410/SUM(S$404,S$323,S$324),U$410/SUM(T$404,T$323,T$324),V$410/SUM(U$404,U$323,U$324)),V$410/SUM(U$404,U$323,U$324))*SUM(V$404,V$323,V$324)</f>
        <v>1.4333196382118738</v>
      </c>
      <c r="X410" s="26">
        <f ca="1">IF(X$4=OFFSET(Choices!$B$10,0,$C$1),AVERAGE(U$410/SUM(T$404,T$323,T$324),V$410/SUM(U$404,U$323,U$324),W$410/SUM(V$404,V$323,V$324)),W$410/SUM(V$404,V$323,V$324))*SUM(W$404,W$323,W$324)</f>
        <v>1.4754166661822479</v>
      </c>
      <c r="Y410" s="26">
        <f ca="1">IF(Y$4=OFFSET(Choices!$B$10,0,$C$1),AVERAGE(V$410/SUM(U$404,U$323,U$324),W$410/SUM(V$404,V$323,V$324),X$410/SUM(W$404,W$323,W$324)),X$410/SUM(W$404,W$323,W$324))*SUM(X$404,X$323,X$324)</f>
        <v>1.5183815526573272</v>
      </c>
      <c r="Z410" s="26">
        <f ca="1">IF(Z$4=OFFSET(Choices!$B$10,0,$C$1),AVERAGE(W$410/SUM(V$404,V$323,V$324),X$410/SUM(W$404,W$323,W$324),Y$410/SUM(X$404,X$323,X$324)),Y$410/SUM(X$404,X$323,X$324))*SUM(Y$404,Y$323,Y$324)</f>
        <v>1.5621573401196975</v>
      </c>
      <c r="AA410" s="26">
        <f ca="1">IF(AA$4=OFFSET(Choices!$B$10,0,$C$1),AVERAGE(X$410/SUM(W$404,W$323,W$324),Y$410/SUM(X$404,X$323,X$324),Z$410/SUM(Y$404,Y$323,Y$324)),Z$410/SUM(Y$404,Y$323,Y$324))*SUM(Z$404,Z$323,Z$324)</f>
        <v>1.6066942052184778</v>
      </c>
      <c r="AB410" s="26">
        <f ca="1">IF(AB$4=OFFSET(Choices!$B$10,0,$C$1),AVERAGE(Y$410/SUM(X$404,X$323,X$324),Z$410/SUM(Y$404,Y$323,Y$324),AA$410/SUM(Z$404,Z$323,Z$324)),AA$410/SUM(Z$404,Z$323,Z$324))*SUM(AA$404,AA$323,AA$324)</f>
        <v>1.6519940857405395</v>
      </c>
      <c r="AC410" s="26">
        <f ca="1">IF(AC$4=OFFSET(Choices!$B$10,0,$C$1),AVERAGE(Z$410/SUM(Y$404,Y$323,Y$324),AA$410/SUM(Z$404,Z$323,Z$324),AB$410/SUM(AA$404,AA$323,AA$324)),AB$410/SUM(AA$404,AA$323,AA$324))*SUM(AB$404,AB$323,AB$324)</f>
        <v>1.6980695368380083</v>
      </c>
    </row>
    <row r="411" spans="1:29" x14ac:dyDescent="0.2">
      <c r="A411" s="3" t="s">
        <v>723</v>
      </c>
      <c r="B411" s="4" t="str">
        <f>$B$46</f>
        <v>From Fiscal Forecasts</v>
      </c>
      <c r="F411" s="21">
        <f>SUM('Fiscal Forecasts'!F$349:F$352)</f>
        <v>7.665</v>
      </c>
      <c r="G411" s="21">
        <f>SUM('Fiscal Forecasts'!G$349:G$352)</f>
        <v>8.641</v>
      </c>
      <c r="H411" s="21">
        <f>SUM('Fiscal Forecasts'!H$349:H$352)</f>
        <v>7.1189999999999998</v>
      </c>
      <c r="I411" s="21">
        <f>SUM('Fiscal Forecasts'!I$349:I$352)</f>
        <v>4.3939999999999992</v>
      </c>
      <c r="J411" s="21">
        <f>SUM('Fiscal Forecasts'!J$349:J$352)</f>
        <v>2.6600000000000006</v>
      </c>
      <c r="K411" s="21">
        <f>SUM('Fiscal Forecasts'!K$349:K$352)</f>
        <v>-4.8839999999999986</v>
      </c>
      <c r="L411" s="21">
        <f>SUM('Fiscal Forecasts'!L$349:L$352)</f>
        <v>1.0789999999999997</v>
      </c>
      <c r="M411" s="21">
        <f>SUM('Fiscal Forecasts'!M$349:M$352)</f>
        <v>6.6529999999999996</v>
      </c>
      <c r="N411" s="21">
        <f>SUM('Fiscal Forecasts'!N$349:N$352)</f>
        <v>9.2320000000000011</v>
      </c>
      <c r="O411" s="24">
        <f>SUM('Fiscal Forecasts'!O$349:O$352)</f>
        <v>8.0449999999999999</v>
      </c>
      <c r="P411" s="24">
        <f>SUM('Fiscal Forecasts'!P$349:P$352)</f>
        <v>7.2690000000000001</v>
      </c>
      <c r="Q411" s="24">
        <f>SUM('Fiscal Forecasts'!Q$349:Q$352)</f>
        <v>6.4750000000000005</v>
      </c>
      <c r="R411" s="24">
        <f>SUM('Fiscal Forecasts'!R$349:R$352)</f>
        <v>6.4020000000000001</v>
      </c>
      <c r="S411" s="24">
        <f>SUM('Fiscal Forecasts'!S$349:S$352)</f>
        <v>5.5089999999999995</v>
      </c>
      <c r="T411" s="26">
        <f t="shared" ref="T411:AC411" ca="1" si="219">(S$411-S$408-(S$138-S$279))*T$11/S$11+T$408+T$138-T$279</f>
        <v>5.7196888660938061</v>
      </c>
      <c r="U411" s="26">
        <f t="shared" ca="1" si="219"/>
        <v>5.9591334555665147</v>
      </c>
      <c r="V411" s="26">
        <f t="shared" ca="1" si="219"/>
        <v>6.3366394821031236</v>
      </c>
      <c r="W411" s="26">
        <f t="shared" ca="1" si="219"/>
        <v>6.5955408991132494</v>
      </c>
      <c r="X411" s="26">
        <f t="shared" ca="1" si="219"/>
        <v>6.8619409492283578</v>
      </c>
      <c r="Y411" s="26">
        <f t="shared" ca="1" si="219"/>
        <v>7.1341995915078158</v>
      </c>
      <c r="Z411" s="26">
        <f t="shared" ca="1" si="219"/>
        <v>7.4120023931107522</v>
      </c>
      <c r="AA411" s="26">
        <f t="shared" ca="1" si="219"/>
        <v>7.6969828807006628</v>
      </c>
      <c r="AB411" s="26">
        <f t="shared" ca="1" si="219"/>
        <v>7.9885239967440995</v>
      </c>
      <c r="AC411" s="26">
        <f t="shared" ca="1" si="219"/>
        <v>8.289777360104658</v>
      </c>
    </row>
    <row r="412" spans="1:29" x14ac:dyDescent="0.2">
      <c r="A412" s="3" t="s">
        <v>849</v>
      </c>
      <c r="B412" s="4" t="str">
        <f>$B$46</f>
        <v>From Fiscal Forecasts</v>
      </c>
      <c r="F412" s="21">
        <f>SUM('Fiscal Forecasts'!F$354:F$356,'Fiscal Forecasts'!F$358)</f>
        <v>-1.7209999999999999</v>
      </c>
      <c r="G412" s="21">
        <f>SUM('Fiscal Forecasts'!G$354:G$356,'Fiscal Forecasts'!G$358)</f>
        <v>-2.1640000000000001</v>
      </c>
      <c r="H412" s="21">
        <f>SUM('Fiscal Forecasts'!H$354:H$356,'Fiscal Forecasts'!H$358)</f>
        <v>-3.1270000000000007</v>
      </c>
      <c r="I412" s="21">
        <f>SUM('Fiscal Forecasts'!I$354:I$356,'Fiscal Forecasts'!I$358)</f>
        <v>-2.383</v>
      </c>
      <c r="J412" s="21">
        <f>SUM('Fiscal Forecasts'!J$354:J$356,'Fiscal Forecasts'!J$358)</f>
        <v>-2.5909999999999997</v>
      </c>
      <c r="K412" s="21">
        <f>SUM('Fiscal Forecasts'!K$354:K$356,'Fiscal Forecasts'!K$358)</f>
        <v>-2.4170000000000007</v>
      </c>
      <c r="L412" s="21">
        <f>SUM('Fiscal Forecasts'!L$354:L$356,'Fiscal Forecasts'!L$358)</f>
        <v>-3.8670000000000004</v>
      </c>
      <c r="M412" s="21">
        <f>SUM('Fiscal Forecasts'!M$354:M$356,'Fiscal Forecasts'!M$358)</f>
        <v>-3.6249999999999996</v>
      </c>
      <c r="N412" s="21">
        <f>SUM('Fiscal Forecasts'!N$354:N$356,'Fiscal Forecasts'!N$358)</f>
        <v>-2.8930000000000002</v>
      </c>
      <c r="O412" s="24">
        <f>SUM('Fiscal Forecasts'!O$354:O$356,'Fiscal Forecasts'!O$358)</f>
        <v>-0.16</v>
      </c>
      <c r="P412" s="24">
        <f>SUM('Fiscal Forecasts'!P$354:P$356,'Fiscal Forecasts'!P$358)</f>
        <v>-0.624</v>
      </c>
      <c r="Q412" s="24">
        <f>SUM('Fiscal Forecasts'!Q$354:Q$356,'Fiscal Forecasts'!Q$358)</f>
        <v>-0.32500000000000001</v>
      </c>
      <c r="R412" s="24">
        <f>SUM('Fiscal Forecasts'!R$354:R$356,'Fiscal Forecasts'!R$358)</f>
        <v>-5.6999999999999995E-2</v>
      </c>
      <c r="S412" s="24">
        <f>SUM('Fiscal Forecasts'!S$354:S$356,'Fiscal Forecasts'!S$358)</f>
        <v>-6.2E-2</v>
      </c>
      <c r="T412" s="26">
        <f t="shared" ref="T412:AC412" ca="1" si="220">(S$412-S$409)*T$29/S$29+T$409</f>
        <v>-6.3264416988417005E-2</v>
      </c>
      <c r="U412" s="26">
        <f t="shared" ca="1" si="220"/>
        <v>-6.4529705328185347E-2</v>
      </c>
      <c r="V412" s="26">
        <f t="shared" ca="1" si="220"/>
        <v>-6.5820299434749055E-2</v>
      </c>
      <c r="W412" s="26">
        <f t="shared" ca="1" si="220"/>
        <v>-6.7136705423444021E-2</v>
      </c>
      <c r="X412" s="26">
        <f t="shared" ca="1" si="220"/>
        <v>-6.8479439531912906E-2</v>
      </c>
      <c r="Y412" s="26">
        <f t="shared" ca="1" si="220"/>
        <v>-6.9849028322551174E-2</v>
      </c>
      <c r="Z412" s="26">
        <f t="shared" ca="1" si="220"/>
        <v>-7.1246008889002191E-2</v>
      </c>
      <c r="AA412" s="26">
        <f t="shared" ca="1" si="220"/>
        <v>-7.2670929066782242E-2</v>
      </c>
      <c r="AB412" s="26">
        <f t="shared" ca="1" si="220"/>
        <v>-7.41243476481179E-2</v>
      </c>
      <c r="AC412" s="26">
        <f t="shared" ca="1" si="220"/>
        <v>-7.5606834601080253E-2</v>
      </c>
    </row>
    <row r="413" spans="1:29" x14ac:dyDescent="0.2">
      <c r="A413" s="3" t="s">
        <v>642</v>
      </c>
      <c r="B413" s="4" t="str">
        <f>$B$46</f>
        <v>From Fiscal Forecasts</v>
      </c>
      <c r="F413" s="21">
        <f>'Fiscal Forecasts'!F$357</f>
        <v>2.911</v>
      </c>
      <c r="G413" s="21">
        <f>'Fiscal Forecasts'!G$357</f>
        <v>3.0739999999999998</v>
      </c>
      <c r="H413" s="21">
        <f>'Fiscal Forecasts'!H$357</f>
        <v>3.44</v>
      </c>
      <c r="I413" s="21">
        <f>'Fiscal Forecasts'!I$357</f>
        <v>3.5819999999999999</v>
      </c>
      <c r="J413" s="21">
        <f>'Fiscal Forecasts'!J$357</f>
        <v>3.7269999999999999</v>
      </c>
      <c r="K413" s="21">
        <f>'Fiscal Forecasts'!K$357</f>
        <v>3.8029999999999999</v>
      </c>
      <c r="L413" s="21">
        <f>'Fiscal Forecasts'!L$357</f>
        <v>3.6970000000000001</v>
      </c>
      <c r="M413" s="21">
        <f>'Fiscal Forecasts'!M$357</f>
        <v>3.8050000000000002</v>
      </c>
      <c r="N413" s="21">
        <f>'Fiscal Forecasts'!N$357</f>
        <v>3.8730000000000002</v>
      </c>
      <c r="O413" s="24">
        <f>'Fiscal Forecasts'!O$357</f>
        <v>4.2910000000000004</v>
      </c>
      <c r="P413" s="24">
        <f>'Fiscal Forecasts'!P$357</f>
        <v>4.45</v>
      </c>
      <c r="Q413" s="24">
        <f>'Fiscal Forecasts'!Q$357</f>
        <v>4.6269999999999998</v>
      </c>
      <c r="R413" s="24">
        <f>'Fiscal Forecasts'!R$357</f>
        <v>4.7510000000000003</v>
      </c>
      <c r="S413" s="24">
        <f>'Fiscal Forecasts'!S$357</f>
        <v>4.8179999999999996</v>
      </c>
      <c r="T413" s="26">
        <f ca="1">IF(T$4=OFFSET(Choices!$B$10,0,$C$1),AVERAGE((Q$413-Q$410)/SUM(P$405,P$406),(R$413-R$410)/SUM(Q$405,Q$406),(S$413-S$410)/SUM(R$405,R$406)),(S$413-S$410)/SUM(R$405,R$406))*SUM(S$405,S$406)+T$410</f>
        <v>4.8771378551882139</v>
      </c>
      <c r="U413" s="26">
        <f ca="1">IF(U$4=OFFSET(Choices!$B$10,0,$C$1),AVERAGE((R$413-R$410)/SUM(Q$405,Q$406),(S$413-S$410)/SUM(R$405,R$406),(T$413-T$410)/SUM(S$405,S$406)),(T$413-T$410)/SUM(S$405,S$406))*SUM(T$405,T$406)+U$410</f>
        <v>4.9446625063451872</v>
      </c>
      <c r="V413" s="26">
        <f ca="1">IF(V$4=OFFSET(Choices!$B$10,0,$C$1),AVERAGE((S$413-S$410)/SUM(R$405,R$406),(T$413-T$410)/SUM(S$405,S$406),(U$413-U$410)/SUM(T$405,T$406)),(U$413-U$410)/SUM(T$405,T$406))*SUM(U$405,U$406)+V$410</f>
        <v>5.0176293510229124</v>
      </c>
      <c r="W413" s="26">
        <f ca="1">IF(W$4=OFFSET(Choices!$B$10,0,$C$1),AVERAGE((T$413-T$410)/SUM(S$405,S$406),(U$413-U$410)/SUM(T$405,T$406),(V$413-V$410)/SUM(U$405,U$406)),(V$413-V$410)/SUM(U$405,U$406))*SUM(V$405,V$406)+W$410</f>
        <v>5.100707839261915</v>
      </c>
      <c r="X413" s="26">
        <f ca="1">IF(X$4=OFFSET(Choices!$B$10,0,$C$1),AVERAGE((U$413-U$410)/SUM(T$405,T$406),(V$413-V$410)/SUM(U$405,U$406),(W$413-W$410)/SUM(V$405,V$406)),(W$413-W$410)/SUM(V$405,V$406))*SUM(W$405,W$406)+X$410</f>
        <v>5.1891364593197133</v>
      </c>
      <c r="Y413" s="26">
        <f ca="1">IF(Y$4=OFFSET(Choices!$B$10,0,$C$1),AVERAGE((V$413-V$410)/SUM(U$405,U$406),(W$413-W$410)/SUM(V$405,V$406),(X$413-X$410)/SUM(W$405,W$406)),(X$413-X$410)/SUM(W$405,W$406))*SUM(X$405,X$406)+Y$410</f>
        <v>5.2845736165240336</v>
      </c>
      <c r="Z413" s="26">
        <f ca="1">IF(Z$4=OFFSET(Choices!$B$10,0,$C$1),AVERAGE((W$413-W$410)/SUM(V$405,V$406),(X$413-X$410)/SUM(W$405,W$406),(Y$413-Y$410)/SUM(X$405,X$406)),(Y$413-Y$410)/SUM(X$405,X$406))*SUM(Y$405,Y$406)+Z$410</f>
        <v>5.386996126366463</v>
      </c>
      <c r="AA413" s="26">
        <f ca="1">IF(AA$4=OFFSET(Choices!$B$10,0,$C$1),AVERAGE((X$413-X$410)/SUM(W$405,W$406),(Y$413-Y$410)/SUM(X$405,X$406),(Z$413-Z$410)/SUM(Y$405,Y$406)),(Z$413-Z$410)/SUM(Y$405,Y$406))*SUM(Z$405,Z$406)+AA$410</f>
        <v>5.4963704747878701</v>
      </c>
      <c r="AB413" s="26">
        <f ca="1">IF(AB$4=OFFSET(Choices!$B$10,0,$C$1),AVERAGE((Y$413-Y$410)/SUM(X$405,X$406),(Z$413-Z$410)/SUM(Y$405,Y$406),(AA$413-AA$410)/SUM(Z$405,Z$406)),(AA$413-AA$410)/SUM(Z$405,Z$406))*SUM(AA$405,AA$406)+AB$410</f>
        <v>5.6127201361541594</v>
      </c>
      <c r="AC413" s="26">
        <f ca="1">IF(AC$4=OFFSET(Choices!$B$10,0,$C$1),AVERAGE((Z$413-Z$410)/SUM(Y$405,Y$406),(AA$413-AA$410)/SUM(Z$405,Z$406),(AB$413-AB$410)/SUM(AA$405,AA$406)),(AB$413-AB$410)/SUM(AA$405,AA$406))*SUM(AB$405,AB$406)+AC$410</f>
        <v>5.736045748175937</v>
      </c>
    </row>
    <row r="414" spans="1:29" x14ac:dyDescent="0.2">
      <c r="B414" s="4"/>
      <c r="F414" s="21"/>
      <c r="G414" s="21"/>
      <c r="H414" s="21"/>
      <c r="I414" s="21"/>
      <c r="J414" s="24"/>
      <c r="K414" s="24"/>
      <c r="L414" s="24"/>
      <c r="M414" s="24"/>
      <c r="N414" s="24"/>
      <c r="O414" s="24"/>
      <c r="P414" s="24"/>
      <c r="Q414" s="24"/>
      <c r="R414" s="24"/>
      <c r="S414" s="24"/>
      <c r="T414" s="24"/>
      <c r="U414" s="24"/>
      <c r="V414" s="24"/>
      <c r="W414" s="24"/>
      <c r="X414" s="24"/>
      <c r="Y414" s="24"/>
      <c r="Z414" s="24"/>
      <c r="AA414" s="24"/>
      <c r="AB414" s="24"/>
      <c r="AC414" s="24"/>
    </row>
    <row r="415" spans="1:29" x14ac:dyDescent="0.2">
      <c r="A415" s="31" t="s">
        <v>695</v>
      </c>
      <c r="B415" s="4" t="str">
        <f>$B$46</f>
        <v>From Fiscal Forecasts</v>
      </c>
      <c r="F415" s="23">
        <f>'Fiscal Forecasts'!F$191</f>
        <v>25.048999999999999</v>
      </c>
      <c r="G415" s="23">
        <f>'Fiscal Forecasts'!G$191</f>
        <v>25.696000000000002</v>
      </c>
      <c r="H415" s="23">
        <f>'Fiscal Forecasts'!H$191</f>
        <v>27.536000000000001</v>
      </c>
      <c r="I415" s="23">
        <f>'Fiscal Forecasts'!I$191</f>
        <v>28.663</v>
      </c>
      <c r="J415" s="23">
        <f>'Fiscal Forecasts'!J$191</f>
        <v>30.093</v>
      </c>
      <c r="K415" s="23">
        <f>'Fiscal Forecasts'!K$191</f>
        <v>31.308</v>
      </c>
      <c r="L415" s="23">
        <f>'Fiscal Forecasts'!L$191</f>
        <v>32.610999999999997</v>
      </c>
      <c r="M415" s="23">
        <f>'Fiscal Forecasts'!M$191</f>
        <v>32.542999999999999</v>
      </c>
      <c r="N415" s="23">
        <f>'Fiscal Forecasts'!N$191</f>
        <v>34.883000000000003</v>
      </c>
      <c r="O415" s="25">
        <f>'Fiscal Forecasts'!O$191</f>
        <v>36.600999999999999</v>
      </c>
      <c r="P415" s="25">
        <f>'Fiscal Forecasts'!P$191</f>
        <v>38.200000000000003</v>
      </c>
      <c r="Q415" s="25">
        <f>'Fiscal Forecasts'!Q$191</f>
        <v>39.573999999999998</v>
      </c>
      <c r="R415" s="25">
        <f>'Fiscal Forecasts'!R$191</f>
        <v>41.042000000000002</v>
      </c>
      <c r="S415" s="25">
        <f>'Fiscal Forecasts'!S$191</f>
        <v>42.487000000000002</v>
      </c>
      <c r="T415" s="11">
        <f t="shared" ref="T415:AC415" ca="1" si="221">SUM(S$415,T$138-T$279)</f>
        <v>43.941214549112367</v>
      </c>
      <c r="U415" s="11">
        <f t="shared" ca="1" si="221"/>
        <v>45.459895288856316</v>
      </c>
      <c r="V415" s="11">
        <f t="shared" ca="1" si="221"/>
        <v>47.046750241905961</v>
      </c>
      <c r="W415" s="11">
        <f t="shared" ca="1" si="221"/>
        <v>48.704313608322479</v>
      </c>
      <c r="X415" s="11">
        <f t="shared" ca="1" si="221"/>
        <v>50.435501544588405</v>
      </c>
      <c r="Y415" s="11">
        <f t="shared" ca="1" si="221"/>
        <v>52.242694441752171</v>
      </c>
      <c r="Z415" s="11">
        <f t="shared" ca="1" si="221"/>
        <v>54.128117915507758</v>
      </c>
      <c r="AA415" s="11">
        <f t="shared" ca="1" si="221"/>
        <v>56.094052621008018</v>
      </c>
      <c r="AB415" s="11">
        <f t="shared" ca="1" si="221"/>
        <v>58.14246831705578</v>
      </c>
      <c r="AC415" s="11">
        <f t="shared" ca="1" si="221"/>
        <v>60.275764629683977</v>
      </c>
    </row>
    <row r="416" spans="1:29" x14ac:dyDescent="0.2">
      <c r="A416" s="31" t="s">
        <v>746</v>
      </c>
      <c r="B416" s="4" t="str">
        <f>$B$46</f>
        <v>From Fiscal Forecasts</v>
      </c>
      <c r="F416" s="23">
        <f>'Fiscal Forecasts'!F$121</f>
        <v>7.0010000000000003</v>
      </c>
      <c r="G416" s="23">
        <f>'Fiscal Forecasts'!G$121</f>
        <v>8.0649999999999995</v>
      </c>
      <c r="H416" s="23">
        <f>'Fiscal Forecasts'!H$121</f>
        <v>8.7769999999999992</v>
      </c>
      <c r="I416" s="23">
        <f>'Fiscal Forecasts'!I$121</f>
        <v>9.0489999999999995</v>
      </c>
      <c r="J416" s="23">
        <f>'Fiscal Forecasts'!J$121</f>
        <v>9.3010000000000002</v>
      </c>
      <c r="K416" s="23">
        <f>'Fiscal Forecasts'!K$121</f>
        <v>9.4830000000000005</v>
      </c>
      <c r="L416" s="23">
        <f>'Fiscal Forecasts'!L$121</f>
        <v>9.593</v>
      </c>
      <c r="M416" s="23">
        <f>'Fiscal Forecasts'!M$121</f>
        <v>10.071</v>
      </c>
      <c r="N416" s="23">
        <f>'Fiscal Forecasts'!N$121</f>
        <v>11.917999999999999</v>
      </c>
      <c r="O416" s="25">
        <f>'Fiscal Forecasts'!O$121</f>
        <v>12.157</v>
      </c>
      <c r="P416" s="25">
        <f>'Fiscal Forecasts'!P$121</f>
        <v>12.41</v>
      </c>
      <c r="Q416" s="25">
        <f>'Fiscal Forecasts'!Q$121</f>
        <v>12.653</v>
      </c>
      <c r="R416" s="25">
        <f>'Fiscal Forecasts'!R$121</f>
        <v>12.952999999999999</v>
      </c>
      <c r="S416" s="25">
        <f>'Fiscal Forecasts'!S$121</f>
        <v>13.195</v>
      </c>
      <c r="T416" s="11">
        <f ca="1">((S$416-S$415)/S$11+IF(T$1&gt;0,T$1*IF(T$4=OFFSET(Choices!$B$10,0,$C$1),(SUMPRODUCT(OFFSET(S$416,0,0,1,-OFFSET(Choices!$B$59,0,$C$1)),OFFSET(S$13,0,0,1,-OFFSET(Choices!$B$59,0,$C$1)))-SUMPRODUCT(OFFSET(S$415,0,0,1,-OFFSET(Choices!$B$59,0,$C$1)),OFFSET(S$13,0,0,1,-OFFSET(Choices!$B$59,0,$C$1))))/OFFSET(Choices!$B$59,0,$C$1)-(S$416-S$415)/S$11,((S$416-S$415)/S$11-(R$416-R$415)/R$11)/S$1),0))*T$11 +T$415</f>
        <v>13.343564855415394</v>
      </c>
      <c r="U416" s="11">
        <f ca="1">((T$416-T$415)/T$11+IF(U$1&gt;0,U$1*IF(U$4=OFFSET(Choices!$B$10,0,$C$1),(SUMPRODUCT(OFFSET(T$416,0,0,1,-OFFSET(Choices!$B$59,0,$C$1)),OFFSET(T$13,0,0,1,-OFFSET(Choices!$B$59,0,$C$1)))-SUMPRODUCT(OFFSET(T$415,0,0,1,-OFFSET(Choices!$B$59,0,$C$1)),OFFSET(T$13,0,0,1,-OFFSET(Choices!$B$59,0,$C$1))))/OFFSET(Choices!$B$59,0,$C$1)-(T$416-T$415)/T$11,((T$416-T$415)/T$11-(S$416-S$415)/S$11)/T$1),0))*U$11 +U$415</f>
        <v>13.501895082717244</v>
      </c>
      <c r="V416" s="11">
        <f ca="1">((U$416-U$415)/U$11+IF(V$1&gt;0,V$1*IF(V$4=OFFSET(Choices!$B$10,0,$C$1),(SUMPRODUCT(OFFSET(U$416,0,0,1,-OFFSET(Choices!$B$59,0,$C$1)),OFFSET(U$13,0,0,1,-OFFSET(Choices!$B$59,0,$C$1)))-SUMPRODUCT(OFFSET(U$415,0,0,1,-OFFSET(Choices!$B$59,0,$C$1)),OFFSET(U$13,0,0,1,-OFFSET(Choices!$B$59,0,$C$1))))/OFFSET(Choices!$B$59,0,$C$1)-(U$416-U$415)/U$11,((U$416-U$415)/U$11-(T$416-T$415)/T$11)/U$1),0))*V$11 +V$415</f>
        <v>13.651055481545541</v>
      </c>
      <c r="W416" s="11">
        <f ca="1">((V$416-V$415)/V$11+IF(W$1&gt;0,W$1*IF(W$4=OFFSET(Choices!$B$10,0,$C$1),(SUMPRODUCT(OFFSET(V$416,0,0,1,-OFFSET(Choices!$B$59,0,$C$1)),OFFSET(V$13,0,0,1,-OFFSET(Choices!$B$59,0,$C$1)))-SUMPRODUCT(OFFSET(V$415,0,0,1,-OFFSET(Choices!$B$59,0,$C$1)),OFFSET(V$13,0,0,1,-OFFSET(Choices!$B$59,0,$C$1))))/OFFSET(Choices!$B$59,0,$C$1)-(V$416-V$415)/V$11,((V$416-V$415)/V$11-(U$416-U$415)/U$11)/V$1),0))*W$11 +W$415</f>
        <v>13.81839608402904</v>
      </c>
      <c r="X416" s="11">
        <f ca="1">((W$416-W$415)/W$11+IF(X$1&gt;0,X$1*IF(X$4=OFFSET(Choices!$B$10,0,$C$1),(SUMPRODUCT(OFFSET(W$416,0,0,1,-OFFSET(Choices!$B$59,0,$C$1)),OFFSET(W$13,0,0,1,-OFFSET(Choices!$B$59,0,$C$1)))-SUMPRODUCT(OFFSET(W$415,0,0,1,-OFFSET(Choices!$B$59,0,$C$1)),OFFSET(W$13,0,0,1,-OFFSET(Choices!$B$59,0,$C$1))))/OFFSET(Choices!$B$59,0,$C$1)-(W$416-W$415)/W$11,((W$416-W$415)/W$11-(V$416-V$415)/V$11)/W$1),0))*X$11 +X$415</f>
        <v>13.998921626123241</v>
      </c>
      <c r="Y416" s="11">
        <f ca="1">((X$416-X$415)/X$11+IF(Y$1&gt;0,Y$1*IF(Y$4=OFFSET(Choices!$B$10,0,$C$1),(SUMPRODUCT(OFFSET(X$416,0,0,1,-OFFSET(Choices!$B$59,0,$C$1)),OFFSET(X$13,0,0,1,-OFFSET(Choices!$B$59,0,$C$1)))-SUMPRODUCT(OFFSET(X$415,0,0,1,-OFFSET(Choices!$B$59,0,$C$1)),OFFSET(X$13,0,0,1,-OFFSET(Choices!$B$59,0,$C$1))))/OFFSET(Choices!$B$59,0,$C$1)-(X$416-X$415)/X$11,((X$416-X$415)/X$11-(W$416-W$415)/W$11)/X$1),0))*Y$11 +Y$415</f>
        <v>14.206426370464406</v>
      </c>
      <c r="Z416" s="11">
        <f ca="1">((Y$416-Y$415)/Y$11+IF(Z$1&gt;0,Z$1*IF(Z$4=OFFSET(Choices!$B$10,0,$C$1),(SUMPRODUCT(OFFSET(Y$416,0,0,1,-OFFSET(Choices!$B$59,0,$C$1)),OFFSET(Y$13,0,0,1,-OFFSET(Choices!$B$59,0,$C$1)))-SUMPRODUCT(OFFSET(Y$415,0,0,1,-OFFSET(Choices!$B$59,0,$C$1)),OFFSET(Y$13,0,0,1,-OFFSET(Choices!$B$59,0,$C$1))))/OFFSET(Choices!$B$59,0,$C$1)-(Y$416-Y$415)/Y$11,((Y$416-Y$415)/Y$11-(X$416-X$415)/X$11)/Y$1),0))*Z$11 +Z$415</f>
        <v>14.445318814086122</v>
      </c>
      <c r="AA416" s="11">
        <f ca="1">((Z$416-Z$415)/Z$11+IF(AA$1&gt;0,AA$1*IF(AA$4=OFFSET(Choices!$B$10,0,$C$1),(SUMPRODUCT(OFFSET(Z$416,0,0,1,-OFFSET(Choices!$B$59,0,$C$1)),OFFSET(Z$13,0,0,1,-OFFSET(Choices!$B$59,0,$C$1)))-SUMPRODUCT(OFFSET(Z$415,0,0,1,-OFFSET(Choices!$B$59,0,$C$1)),OFFSET(Z$13,0,0,1,-OFFSET(Choices!$B$59,0,$C$1))))/OFFSET(Choices!$B$59,0,$C$1)-(Z$416-Z$415)/Z$11,((Z$416-Z$415)/Z$11-(Y$416-Y$415)/Y$11)/Z$1),0))*AA$11 +AA$415</f>
        <v>14.716721188147943</v>
      </c>
      <c r="AB416" s="11">
        <f ca="1">((AA$416-AA$415)/AA$11+IF(AB$1&gt;0,AB$1*IF(AB$4=OFFSET(Choices!$B$10,0,$C$1),(SUMPRODUCT(OFFSET(AA$416,0,0,1,-OFFSET(Choices!$B$59,0,$C$1)),OFFSET(AA$13,0,0,1,-OFFSET(Choices!$B$59,0,$C$1)))-SUMPRODUCT(OFFSET(AA$415,0,0,1,-OFFSET(Choices!$B$59,0,$C$1)),OFFSET(AA$13,0,0,1,-OFFSET(Choices!$B$59,0,$C$1))))/OFFSET(Choices!$B$59,0,$C$1)-(AA$416-AA$415)/AA$11,((AA$416-AA$415)/AA$11-(Z$416-Z$415)/Z$11)/AA$1),0))*AB$11 +AB$415</f>
        <v>15.029146734957088</v>
      </c>
      <c r="AC416" s="11">
        <f ca="1">((AB$416-AB$415)/AB$11+IF(AC$1&gt;0,AC$1*IF(AC$4=OFFSET(Choices!$B$10,0,$C$1),(SUMPRODUCT(OFFSET(AB$416,0,0,1,-OFFSET(Choices!$B$59,0,$C$1)),OFFSET(AB$13,0,0,1,-OFFSET(Choices!$B$59,0,$C$1)))-SUMPRODUCT(OFFSET(AB$415,0,0,1,-OFFSET(Choices!$B$59,0,$C$1)),OFFSET(AB$13,0,0,1,-OFFSET(Choices!$B$59,0,$C$1))))/OFFSET(Choices!$B$59,0,$C$1)-(AB$416-AB$415)/AB$11,((AB$416-AB$415)/AB$11-(AA$416-AA$415)/AA$11)/AB$1),0))*AC$11 +AC$415</f>
        <v>15.375947598551384</v>
      </c>
    </row>
    <row r="417" spans="1:29" x14ac:dyDescent="0.2">
      <c r="A417" s="31"/>
    </row>
    <row r="418" spans="1:29" x14ac:dyDescent="0.2">
      <c r="A418" s="31" t="s">
        <v>311</v>
      </c>
      <c r="F418" s="26"/>
      <c r="G418" s="26"/>
      <c r="H418" s="26"/>
      <c r="I418" s="26"/>
    </row>
    <row r="419" spans="1:29" x14ac:dyDescent="0.2">
      <c r="A419" s="3" t="s">
        <v>412</v>
      </c>
      <c r="B419" s="4" t="str">
        <f>$B$46</f>
        <v>From Fiscal Forecasts</v>
      </c>
      <c r="F419" s="21">
        <f>'Fiscal Forecasts'!F$362</f>
        <v>0.80400000000000005</v>
      </c>
      <c r="G419" s="21">
        <f>'Fiscal Forecasts'!G$362</f>
        <v>0.84499999999999997</v>
      </c>
      <c r="H419" s="21">
        <f>'Fiscal Forecasts'!H$362</f>
        <v>1.135</v>
      </c>
      <c r="I419" s="21">
        <f>'Fiscal Forecasts'!I$362</f>
        <v>1.1220000000000001</v>
      </c>
      <c r="J419" s="21">
        <f>'Fiscal Forecasts'!J$362</f>
        <v>1.157</v>
      </c>
      <c r="K419" s="21">
        <f>'Fiscal Forecasts'!K$362</f>
        <v>1.1120000000000001</v>
      </c>
      <c r="L419" s="21">
        <f>'Fiscal Forecasts'!L$362</f>
        <v>1.0409999999999999</v>
      </c>
      <c r="M419" s="21">
        <f>'Fiscal Forecasts'!M$362</f>
        <v>1.1839999999999999</v>
      </c>
      <c r="N419" s="21">
        <f>'Fiscal Forecasts'!N$362</f>
        <v>1.2390000000000001</v>
      </c>
      <c r="O419" s="24">
        <f>'Fiscal Forecasts'!O$362</f>
        <v>1.46</v>
      </c>
      <c r="P419" s="24">
        <f>'Fiscal Forecasts'!P$362</f>
        <v>1.5549999999999999</v>
      </c>
      <c r="Q419" s="24">
        <f>'Fiscal Forecasts'!Q$362</f>
        <v>1.5509999999999999</v>
      </c>
      <c r="R419" s="24">
        <f>'Fiscal Forecasts'!R$362</f>
        <v>1.5549999999999999</v>
      </c>
      <c r="S419" s="24">
        <f>'Fiscal Forecasts'!S$362</f>
        <v>1.546</v>
      </c>
      <c r="T419" s="26">
        <f ca="1">(S$419/S$11+IF(T$1&gt;0,T$1*IF(T$4=OFFSET(Choices!$B$10,0,$C$1),SUMPRODUCT(OFFSET(S$419,0,0,1,-OFFSET(Choices!$B$59,0,$C$1)),OFFSET(S$13,0,0,1,-OFFSET(Choices!$B$59,0,$C$1)))/OFFSET(Choices!$B$59,0,$C$1)-S$419/S$11,(S$419/S$11-R$419/R$11)/S$1),0))*T$11</f>
        <v>1.6401584906678952</v>
      </c>
      <c r="U419" s="26">
        <f ca="1">(T$419/T$11+IF(U$1&gt;0,U$1*IF(U$4=OFFSET(Choices!$B$10,0,$C$1),SUMPRODUCT(OFFSET(T$419,0,0,1,-OFFSET(Choices!$B$59,0,$C$1)),OFFSET(T$13,0,0,1,-OFFSET(Choices!$B$59,0,$C$1)))/OFFSET(Choices!$B$59,0,$C$1)-T$419/T$11,(T$419/T$11-S$419/S$11)/T$1),0))*U$11</f>
        <v>1.7341691312167637</v>
      </c>
      <c r="V419" s="26">
        <f ca="1">(U$419/U$11+IF(V$1&gt;0,V$1*IF(V$4=OFFSET(Choices!$B$10,0,$C$1),SUMPRODUCT(OFFSET(U$419,0,0,1,-OFFSET(Choices!$B$59,0,$C$1)),OFFSET(U$13,0,0,1,-OFFSET(Choices!$B$59,0,$C$1)))/OFFSET(Choices!$B$59,0,$C$1)-U$419/U$11,(U$419/U$11-T$419/T$11)/U$1),0))*V$11</f>
        <v>1.8287099653828178</v>
      </c>
      <c r="W419" s="26">
        <f ca="1">(V$419/V$11+IF(W$1&gt;0,W$1*IF(W$4=OFFSET(Choices!$B$10,0,$C$1),SUMPRODUCT(OFFSET(V$419,0,0,1,-OFFSET(Choices!$B$59,0,$C$1)),OFFSET(V$13,0,0,1,-OFFSET(Choices!$B$59,0,$C$1)))/OFFSET(Choices!$B$59,0,$C$1)-V$419/V$11,(V$419/V$11-U$419/U$11)/V$1),0))*W$11</f>
        <v>1.9218198831630751</v>
      </c>
      <c r="X419" s="26">
        <f ca="1">(W$419/W$11+IF(X$1&gt;0,X$1*IF(X$4=OFFSET(Choices!$B$10,0,$C$1),SUMPRODUCT(OFFSET(W$419,0,0,1,-OFFSET(Choices!$B$59,0,$C$1)),OFFSET(W$13,0,0,1,-OFFSET(Choices!$B$59,0,$C$1)))/OFFSET(Choices!$B$59,0,$C$1)-W$419/W$11,(W$419/W$11-V$419/V$11)/W$1),0))*X$11</f>
        <v>2.0132525595917601</v>
      </c>
      <c r="Y419" s="26">
        <f ca="1">(X$419/X$11+IF(Y$1&gt;0,Y$1*IF(Y$4=OFFSET(Choices!$B$10,0,$C$1),SUMPRODUCT(OFFSET(X$419,0,0,1,-OFFSET(Choices!$B$59,0,$C$1)),OFFSET(X$13,0,0,1,-OFFSET(Choices!$B$59,0,$C$1)))/OFFSET(Choices!$B$59,0,$C$1)-X$419/X$11,(X$419/X$11-W$419/W$11)/X$1),0))*Y$11</f>
        <v>2.1016411041649739</v>
      </c>
      <c r="Z419" s="26">
        <f ca="1">(Y$419/Y$11+IF(Z$1&gt;0,Z$1*IF(Z$4=OFFSET(Choices!$B$10,0,$C$1),SUMPRODUCT(OFFSET(Y$419,0,0,1,-OFFSET(Choices!$B$59,0,$C$1)),OFFSET(Y$13,0,0,1,-OFFSET(Choices!$B$59,0,$C$1)))/OFFSET(Choices!$B$59,0,$C$1)-Y$419/Y$11,(Y$419/Y$11-X$419/X$11)/Y$1),0))*Z$11</f>
        <v>2.1926178867906225</v>
      </c>
      <c r="AA419" s="26">
        <f ca="1">(Z$419/Z$11+IF(AA$1&gt;0,AA$1*IF(AA$4=OFFSET(Choices!$B$10,0,$C$1),SUMPRODUCT(OFFSET(Z$419,0,0,1,-OFFSET(Choices!$B$59,0,$C$1)),OFFSET(Z$13,0,0,1,-OFFSET(Choices!$B$59,0,$C$1)))/OFFSET(Choices!$B$59,0,$C$1)-Z$419/Z$11,(Z$419/Z$11-Y$419/Y$11)/Z$1),0))*AA$11</f>
        <v>2.2862469145757069</v>
      </c>
      <c r="AB419" s="26">
        <f ca="1">(AA$419/AA$11+IF(AB$1&gt;0,AB$1*IF(AB$4=OFFSET(Choices!$B$10,0,$C$1),SUMPRODUCT(OFFSET(AA$419,0,0,1,-OFFSET(Choices!$B$59,0,$C$1)),OFFSET(AA$13,0,0,1,-OFFSET(Choices!$B$59,0,$C$1)))/OFFSET(Choices!$B$59,0,$C$1)-AA$419/AA$11,(AA$419/AA$11-Z$419/Z$11)/AA$1),0))*AB$11</f>
        <v>2.3821666364376797</v>
      </c>
      <c r="AC419" s="26">
        <f ca="1">(AB$419/AB$11+IF(AC$1&gt;0,AC$1*IF(AC$4=OFFSET(Choices!$B$10,0,$C$1),SUMPRODUCT(OFFSET(AB$419,0,0,1,-OFFSET(Choices!$B$59,0,$C$1)),OFFSET(AB$13,0,0,1,-OFFSET(Choices!$B$59,0,$C$1)))/OFFSET(Choices!$B$59,0,$C$1)-AB$419/AB$11,(AB$419/AB$11-AA$419/AA$11)/AB$1),0))*AC$11</f>
        <v>2.4808769584139703</v>
      </c>
    </row>
    <row r="420" spans="1:29" x14ac:dyDescent="0.2">
      <c r="A420" s="3" t="s">
        <v>413</v>
      </c>
      <c r="B420" s="4" t="str">
        <f>$B$46</f>
        <v>From Fiscal Forecasts</v>
      </c>
      <c r="F420" s="21">
        <f>'Fiscal Forecasts'!F$363</f>
        <v>0.377</v>
      </c>
      <c r="G420" s="21">
        <f>'Fiscal Forecasts'!G$363</f>
        <v>0.38600000000000001</v>
      </c>
      <c r="H420" s="21">
        <f>'Fiscal Forecasts'!H$363</f>
        <v>0.42499999999999999</v>
      </c>
      <c r="I420" s="21">
        <f>'Fiscal Forecasts'!I$363</f>
        <v>0.41699999999999998</v>
      </c>
      <c r="J420" s="21">
        <f>'Fiscal Forecasts'!J$363</f>
        <v>0.43</v>
      </c>
      <c r="K420" s="21">
        <f>'Fiscal Forecasts'!K$363</f>
        <v>0.49399999999999999</v>
      </c>
      <c r="L420" s="21">
        <f>'Fiscal Forecasts'!L$363</f>
        <v>0.57299999999999995</v>
      </c>
      <c r="M420" s="21">
        <f>'Fiscal Forecasts'!M$363</f>
        <v>0.54200000000000004</v>
      </c>
      <c r="N420" s="21">
        <f>'Fiscal Forecasts'!N$363</f>
        <v>0.60699999999999998</v>
      </c>
      <c r="O420" s="24">
        <f>'Fiscal Forecasts'!O$363</f>
        <v>0.65700000000000003</v>
      </c>
      <c r="P420" s="24">
        <f>'Fiscal Forecasts'!P$363</f>
        <v>0.72199999999999998</v>
      </c>
      <c r="Q420" s="24">
        <f>'Fiscal Forecasts'!Q$363</f>
        <v>0.73399999999999999</v>
      </c>
      <c r="R420" s="24">
        <f>'Fiscal Forecasts'!R$363</f>
        <v>0.71899999999999997</v>
      </c>
      <c r="S420" s="24">
        <f>'Fiscal Forecasts'!S$363</f>
        <v>0.68200000000000005</v>
      </c>
      <c r="T420" s="26">
        <f ca="1">(S$420/S$11+IF(T$1&gt;0,T$1*IF(T$4=OFFSET(Choices!$B$10,0,$C$1),SUMPRODUCT(OFFSET(S$420,0,0,1,-OFFSET(Choices!$B$59,0,$C$1)),OFFSET(S$13,0,0,1,-OFFSET(Choices!$B$59,0,$C$1)))/OFFSET(Choices!$B$59,0,$C$1)-S$420/S$11,(S$420/S$11-R$420/R$11)/S$1),0))*T$11</f>
        <v>0.73383608724869109</v>
      </c>
      <c r="U420" s="26">
        <f ca="1">(T$420/T$11+IF(U$1&gt;0,U$1*IF(U$4=OFFSET(Choices!$B$10,0,$C$1),SUMPRODUCT(OFFSET(T$420,0,0,1,-OFFSET(Choices!$B$59,0,$C$1)),OFFSET(T$13,0,0,1,-OFFSET(Choices!$B$59,0,$C$1)))/OFFSET(Choices!$B$59,0,$C$1)-T$420/T$11,(T$420/T$11-S$420/S$11)/T$1),0))*U$11</f>
        <v>0.7843689423476522</v>
      </c>
      <c r="V420" s="26">
        <f ca="1">(U$420/U$11+IF(V$1&gt;0,V$1*IF(V$4=OFFSET(Choices!$B$10,0,$C$1),SUMPRODUCT(OFFSET(U$420,0,0,1,-OFFSET(Choices!$B$59,0,$C$1)),OFFSET(U$13,0,0,1,-OFFSET(Choices!$B$59,0,$C$1)))/OFFSET(Choices!$B$59,0,$C$1)-U$420/U$11,(U$420/U$11-T$420/T$11)/U$1),0))*V$11</f>
        <v>0.83368676278901976</v>
      </c>
      <c r="W420" s="26">
        <f ca="1">(V$420/V$11+IF(W$1&gt;0,W$1*IF(W$4=OFFSET(Choices!$B$10,0,$C$1),SUMPRODUCT(OFFSET(V$420,0,0,1,-OFFSET(Choices!$B$59,0,$C$1)),OFFSET(V$13,0,0,1,-OFFSET(Choices!$B$59,0,$C$1)))/OFFSET(Choices!$B$59,0,$C$1)-V$420/V$11,(V$420/V$11-U$420/U$11)/V$1),0))*W$11</f>
        <v>0.88065872306593795</v>
      </c>
      <c r="X420" s="26">
        <f ca="1">(W$420/W$11+IF(X$1&gt;0,X$1*IF(X$4=OFFSET(Choices!$B$10,0,$C$1),SUMPRODUCT(OFFSET(W$420,0,0,1,-OFFSET(Choices!$B$59,0,$C$1)),OFFSET(W$13,0,0,1,-OFFSET(Choices!$B$59,0,$C$1)))/OFFSET(Choices!$B$59,0,$C$1)-W$420/W$11,(W$420/W$11-V$420/V$11)/W$1),0))*X$11</f>
        <v>0.9249053464442567</v>
      </c>
      <c r="Y420" s="26">
        <f ca="1">(X$420/X$11+IF(Y$1&gt;0,Y$1*IF(Y$4=OFFSET(Choices!$B$10,0,$C$1),SUMPRODUCT(OFFSET(X$420,0,0,1,-OFFSET(Choices!$B$59,0,$C$1)),OFFSET(X$13,0,0,1,-OFFSET(Choices!$B$59,0,$C$1)))/OFFSET(Choices!$B$59,0,$C$1)-X$420/X$11,(X$420/X$11-W$420/W$11)/X$1),0))*Y$11</f>
        <v>0.96551179547158039</v>
      </c>
      <c r="Z420" s="26">
        <f ca="1">(Y$420/Y$11+IF(Z$1&gt;0,Z$1*IF(Z$4=OFFSET(Choices!$B$10,0,$C$1),SUMPRODUCT(OFFSET(Y$420,0,0,1,-OFFSET(Choices!$B$59,0,$C$1)),OFFSET(Y$13,0,0,1,-OFFSET(Choices!$B$59,0,$C$1)))/OFFSET(Choices!$B$59,0,$C$1)-Y$420/Y$11,(Y$420/Y$11-X$420/X$11)/Y$1),0))*Z$11</f>
        <v>1.0073073030703994</v>
      </c>
      <c r="AA420" s="26">
        <f ca="1">(Z$420/Z$11+IF(AA$1&gt;0,AA$1*IF(AA$4=OFFSET(Choices!$B$10,0,$C$1),SUMPRODUCT(OFFSET(Z$420,0,0,1,-OFFSET(Choices!$B$59,0,$C$1)),OFFSET(Z$13,0,0,1,-OFFSET(Choices!$B$59,0,$C$1)))/OFFSET(Choices!$B$59,0,$C$1)-Z$420/Z$11,(Z$420/Z$11-Y$420/Y$11)/Z$1),0))*AA$11</f>
        <v>1.0503212746499824</v>
      </c>
      <c r="AB420" s="26">
        <f ca="1">(AA$420/AA$11+IF(AB$1&gt;0,AB$1*IF(AB$4=OFFSET(Choices!$B$10,0,$C$1),SUMPRODUCT(OFFSET(AA$420,0,0,1,-OFFSET(Choices!$B$59,0,$C$1)),OFFSET(AA$13,0,0,1,-OFFSET(Choices!$B$59,0,$C$1)))/OFFSET(Choices!$B$59,0,$C$1)-AA$420/AA$11,(AA$420/AA$11-Z$420/Z$11)/AA$1),0))*AB$11</f>
        <v>1.0943876105684001</v>
      </c>
      <c r="AC420" s="26">
        <f ca="1">(AB$420/AB$11+IF(AC$1&gt;0,AC$1*IF(AC$4=OFFSET(Choices!$B$10,0,$C$1),SUMPRODUCT(OFFSET(AB$420,0,0,1,-OFFSET(Choices!$B$59,0,$C$1)),OFFSET(AB$13,0,0,1,-OFFSET(Choices!$B$59,0,$C$1)))/OFFSET(Choices!$B$59,0,$C$1)-AB$420/AB$11,(AB$420/AB$11-AA$420/AA$11)/AB$1),0))*AC$11</f>
        <v>1.1397359719104156</v>
      </c>
    </row>
    <row r="421" spans="1:29" x14ac:dyDescent="0.2">
      <c r="A421" s="3" t="s">
        <v>414</v>
      </c>
      <c r="B421" s="4" t="str">
        <f>$B$46</f>
        <v>From Fiscal Forecasts</v>
      </c>
      <c r="F421" s="21">
        <f>SUM('Fiscal Forecasts'!F$364:F$365)</f>
        <v>0.496</v>
      </c>
      <c r="G421" s="21">
        <f>SUM('Fiscal Forecasts'!G$364:G$365)</f>
        <v>0.52</v>
      </c>
      <c r="H421" s="21">
        <f>SUM('Fiscal Forecasts'!H$364:H$365)</f>
        <v>0.60799999999999998</v>
      </c>
      <c r="I421" s="21">
        <f>SUM('Fiscal Forecasts'!I$364:I$365)</f>
        <v>0.64500000000000002</v>
      </c>
      <c r="J421" s="21">
        <f>SUM('Fiscal Forecasts'!J$364:J$365)</f>
        <v>0.80700000000000005</v>
      </c>
      <c r="K421" s="21">
        <f>SUM('Fiscal Forecasts'!K$364:K$365)</f>
        <v>1.099</v>
      </c>
      <c r="L421" s="21">
        <f>SUM('Fiscal Forecasts'!L$364:L$365)</f>
        <v>1.1619999999999999</v>
      </c>
      <c r="M421" s="21">
        <f>SUM('Fiscal Forecasts'!M$364:M$365)</f>
        <v>1.194</v>
      </c>
      <c r="N421" s="21">
        <f>SUM('Fiscal Forecasts'!N$364:N$365)</f>
        <v>1.21</v>
      </c>
      <c r="O421" s="24">
        <f>SUM('Fiscal Forecasts'!O$364:O$365)</f>
        <v>1.2749999999999999</v>
      </c>
      <c r="P421" s="24">
        <f>SUM('Fiscal Forecasts'!P$364:P$365)</f>
        <v>1.288</v>
      </c>
      <c r="Q421" s="24">
        <f>SUM('Fiscal Forecasts'!Q$364:Q$365)</f>
        <v>1.2649999999999999</v>
      </c>
      <c r="R421" s="24">
        <f>SUM('Fiscal Forecasts'!R$364:R$365)</f>
        <v>1.2609999999999999</v>
      </c>
      <c r="S421" s="24">
        <f>SUM('Fiscal Forecasts'!S$364:S$365)</f>
        <v>1.2629999999999999</v>
      </c>
      <c r="T421" s="26">
        <f ca="1">(S$421/S$11+IF(T$1&gt;0,T$1*IF(T$4=OFFSET(Choices!$B$10,0,$C$1),SUMPRODUCT(OFFSET(S$421,0,0,1,-OFFSET(Choices!$B$59,0,$C$1)),OFFSET(S$13,0,0,1,-OFFSET(Choices!$B$59,0,$C$1)))/OFFSET(Choices!$B$59,0,$C$1)-S$421/S$11,(S$421/S$11-R$421/R$11)/S$1),0))*T$11</f>
        <v>1.3385293569441772</v>
      </c>
      <c r="U421" s="26">
        <f ca="1">(T$421/T$11+IF(U$1&gt;0,U$1*IF(U$4=OFFSET(Choices!$B$10,0,$C$1),SUMPRODUCT(OFFSET(T$421,0,0,1,-OFFSET(Choices!$B$59,0,$C$1)),OFFSET(T$13,0,0,1,-OFFSET(Choices!$B$59,0,$C$1)))/OFFSET(Choices!$B$59,0,$C$1)-T$421/T$11,(T$421/T$11-S$421/S$11)/T$1),0))*U$11</f>
        <v>1.4141053899772973</v>
      </c>
      <c r="V421" s="26">
        <f ca="1">(U$421/U$11+IF(V$1&gt;0,V$1*IF(V$4=OFFSET(Choices!$B$10,0,$C$1),SUMPRODUCT(OFFSET(U$421,0,0,1,-OFFSET(Choices!$B$59,0,$C$1)),OFFSET(U$13,0,0,1,-OFFSET(Choices!$B$59,0,$C$1)))/OFFSET(Choices!$B$59,0,$C$1)-U$421/U$11,(U$421/U$11-T$421/T$11)/U$1),0))*V$11</f>
        <v>1.490310554512472</v>
      </c>
      <c r="W421" s="26">
        <f ca="1">(V$421/V$11+IF(W$1&gt;0,W$1*IF(W$4=OFFSET(Choices!$B$10,0,$C$1),SUMPRODUCT(OFFSET(V$421,0,0,1,-OFFSET(Choices!$B$59,0,$C$1)),OFFSET(V$13,0,0,1,-OFFSET(Choices!$B$59,0,$C$1)))/OFFSET(Choices!$B$59,0,$C$1)-V$421/V$11,(V$421/V$11-U$421/U$11)/V$1),0))*W$11</f>
        <v>1.5655786687340378</v>
      </c>
      <c r="X421" s="26">
        <f ca="1">(W$421/W$11+IF(X$1&gt;0,X$1*IF(X$4=OFFSET(Choices!$B$10,0,$C$1),SUMPRODUCT(OFFSET(W$421,0,0,1,-OFFSET(Choices!$B$59,0,$C$1)),OFFSET(W$13,0,0,1,-OFFSET(Choices!$B$59,0,$C$1)))/OFFSET(Choices!$B$59,0,$C$1)-W$421/W$11,(W$421/W$11-V$421/V$11)/W$1),0))*X$11</f>
        <v>1.6397451303000423</v>
      </c>
      <c r="Y421" s="26">
        <f ca="1">(X$421/X$11+IF(Y$1&gt;0,Y$1*IF(Y$4=OFFSET(Choices!$B$10,0,$C$1),SUMPRODUCT(OFFSET(X$421,0,0,1,-OFFSET(Choices!$B$59,0,$C$1)),OFFSET(X$13,0,0,1,-OFFSET(Choices!$B$59,0,$C$1)))/OFFSET(Choices!$B$59,0,$C$1)-X$421/X$11,(X$421/X$11-W$421/W$11)/X$1),0))*Y$11</f>
        <v>1.7117354451006972</v>
      </c>
      <c r="Z421" s="26">
        <f ca="1">(Y$421/Y$11+IF(Z$1&gt;0,Z$1*IF(Z$4=OFFSET(Choices!$B$10,0,$C$1),SUMPRODUCT(OFFSET(Y$421,0,0,1,-OFFSET(Choices!$B$59,0,$C$1)),OFFSET(Y$13,0,0,1,-OFFSET(Choices!$B$59,0,$C$1)))/OFFSET(Choices!$B$59,0,$C$1)-Y$421/Y$11,(Y$421/Y$11-X$421/X$11)/Y$1),0))*Z$11</f>
        <v>1.7858338166984575</v>
      </c>
      <c r="AA421" s="26">
        <f ca="1">(Z$421/Z$11+IF(AA$1&gt;0,AA$1*IF(AA$4=OFFSET(Choices!$B$10,0,$C$1),SUMPRODUCT(OFFSET(Z$421,0,0,1,-OFFSET(Choices!$B$59,0,$C$1)),OFFSET(Z$13,0,0,1,-OFFSET(Choices!$B$59,0,$C$1)))/OFFSET(Choices!$B$59,0,$C$1)-Z$421/Z$11,(Z$421/Z$11-Y$421/Y$11)/Z$1),0))*AA$11</f>
        <v>1.8620923773215976</v>
      </c>
      <c r="AB421" s="26">
        <f ca="1">(AA$421/AA$11+IF(AB$1&gt;0,AB$1*IF(AB$4=OFFSET(Choices!$B$10,0,$C$1),SUMPRODUCT(OFFSET(AA$421,0,0,1,-OFFSET(Choices!$B$59,0,$C$1)),OFFSET(AA$13,0,0,1,-OFFSET(Choices!$B$59,0,$C$1)))/OFFSET(Choices!$B$59,0,$C$1)-AA$421/AA$11,(AA$421/AA$11-Z$421/Z$11)/AA$1),0))*AB$11</f>
        <v>1.9402166524273488</v>
      </c>
      <c r="AC421" s="26">
        <f ca="1">(AB$421/AB$11+IF(AC$1&gt;0,AC$1*IF(AC$4=OFFSET(Choices!$B$10,0,$C$1),SUMPRODUCT(OFFSET(AB$421,0,0,1,-OFFSET(Choices!$B$59,0,$C$1)),OFFSET(AB$13,0,0,1,-OFFSET(Choices!$B$59,0,$C$1)))/OFFSET(Choices!$B$59,0,$C$1)-AB$421/AB$11,(AB$421/AB$11-AA$421/AA$11)/AB$1),0))*AC$11</f>
        <v>2.020613803296385</v>
      </c>
    </row>
    <row r="422" spans="1:29" x14ac:dyDescent="0.2">
      <c r="A422" s="31" t="s">
        <v>744</v>
      </c>
      <c r="F422" s="56">
        <f>SUM(F$419:F$421)</f>
        <v>1.677</v>
      </c>
      <c r="G422" s="56">
        <f t="shared" ref="G422:AC422" si="222">SUM(G$419:G$421)</f>
        <v>1.7509999999999999</v>
      </c>
      <c r="H422" s="56">
        <f t="shared" si="222"/>
        <v>2.1680000000000001</v>
      </c>
      <c r="I422" s="56">
        <f t="shared" si="222"/>
        <v>2.1840000000000002</v>
      </c>
      <c r="J422" s="56">
        <f t="shared" si="222"/>
        <v>2.3940000000000001</v>
      </c>
      <c r="K422" s="56">
        <f t="shared" si="222"/>
        <v>2.7050000000000001</v>
      </c>
      <c r="L422" s="56">
        <f t="shared" si="222"/>
        <v>2.7759999999999998</v>
      </c>
      <c r="M422" s="56">
        <f t="shared" si="222"/>
        <v>2.92</v>
      </c>
      <c r="N422" s="56">
        <f t="shared" si="222"/>
        <v>3.056</v>
      </c>
      <c r="O422" s="57">
        <f t="shared" si="222"/>
        <v>3.3919999999999999</v>
      </c>
      <c r="P422" s="57">
        <f t="shared" si="222"/>
        <v>3.5650000000000004</v>
      </c>
      <c r="Q422" s="57">
        <f t="shared" si="222"/>
        <v>3.55</v>
      </c>
      <c r="R422" s="57">
        <f t="shared" si="222"/>
        <v>3.5350000000000001</v>
      </c>
      <c r="S422" s="57">
        <f t="shared" si="222"/>
        <v>3.4910000000000001</v>
      </c>
      <c r="T422" s="58">
        <f t="shared" ca="1" si="222"/>
        <v>3.7125239348607635</v>
      </c>
      <c r="U422" s="58">
        <f t="shared" ca="1" si="222"/>
        <v>3.9326434635417131</v>
      </c>
      <c r="V422" s="58">
        <f t="shared" ca="1" si="222"/>
        <v>4.1527072826843092</v>
      </c>
      <c r="W422" s="58">
        <f t="shared" ca="1" si="222"/>
        <v>4.3680572749630509</v>
      </c>
      <c r="X422" s="58">
        <f t="shared" ca="1" si="222"/>
        <v>4.5779030363360587</v>
      </c>
      <c r="Y422" s="58">
        <f t="shared" ca="1" si="222"/>
        <v>4.7788883447372514</v>
      </c>
      <c r="Z422" s="58">
        <f t="shared" ca="1" si="222"/>
        <v>4.9857590065594799</v>
      </c>
      <c r="AA422" s="58">
        <f t="shared" ca="1" si="222"/>
        <v>5.1986605665472867</v>
      </c>
      <c r="AB422" s="58">
        <f t="shared" ca="1" si="222"/>
        <v>5.4167708994334287</v>
      </c>
      <c r="AC422" s="58">
        <f t="shared" ca="1" si="222"/>
        <v>5.6412267336207709</v>
      </c>
    </row>
    <row r="423" spans="1:29" x14ac:dyDescent="0.2">
      <c r="A423" s="31"/>
    </row>
    <row r="424" spans="1:29" x14ac:dyDescent="0.2">
      <c r="A424" s="31" t="s">
        <v>316</v>
      </c>
      <c r="B424" s="4" t="str">
        <f>$B$46</f>
        <v>From Fiscal Forecasts</v>
      </c>
      <c r="F424" s="23">
        <f>'Fiscal Forecasts'!F$126</f>
        <v>3.444</v>
      </c>
      <c r="G424" s="23">
        <f>'Fiscal Forecasts'!G$126</f>
        <v>3.53</v>
      </c>
      <c r="H424" s="23">
        <f>'Fiscal Forecasts'!H$126</f>
        <v>4.0049999999999999</v>
      </c>
      <c r="I424" s="23">
        <f>'Fiscal Forecasts'!I$126</f>
        <v>4.0199999999999996</v>
      </c>
      <c r="J424" s="23">
        <f>'Fiscal Forecasts'!J$126</f>
        <v>4.2539999999999996</v>
      </c>
      <c r="K424" s="23">
        <f>'Fiscal Forecasts'!K$126</f>
        <v>4.4569999999999999</v>
      </c>
      <c r="L424" s="23">
        <f>'Fiscal Forecasts'!L$126</f>
        <v>4.6909999999999998</v>
      </c>
      <c r="M424" s="23">
        <f>'Fiscal Forecasts'!M$126</f>
        <v>4.9640000000000004</v>
      </c>
      <c r="N424" s="23">
        <f>'Fiscal Forecasts'!N$126</f>
        <v>5.3360000000000003</v>
      </c>
      <c r="O424" s="25">
        <f>'Fiscal Forecasts'!O$126</f>
        <v>5.56</v>
      </c>
      <c r="P424" s="25">
        <f>'Fiscal Forecasts'!P$126</f>
        <v>5.7229999999999999</v>
      </c>
      <c r="Q424" s="25">
        <f>'Fiscal Forecasts'!Q$126</f>
        <v>5.8929999999999998</v>
      </c>
      <c r="R424" s="25">
        <f>'Fiscal Forecasts'!R$126</f>
        <v>6.0670000000000002</v>
      </c>
      <c r="S424" s="25">
        <f>'Fiscal Forecasts'!S$126</f>
        <v>6.2469999999999999</v>
      </c>
      <c r="T424" s="11">
        <f t="shared" ref="T424:AC424" ca="1" si="223">S$424*T$11/S$11</f>
        <v>6.5244458394455815</v>
      </c>
      <c r="U424" s="11">
        <f t="shared" ca="1" si="223"/>
        <v>6.8136783804814876</v>
      </c>
      <c r="V424" s="11">
        <f t="shared" ca="1" si="223"/>
        <v>7.1195472515028086</v>
      </c>
      <c r="W424" s="11">
        <f t="shared" ca="1" si="223"/>
        <v>7.4367860067380045</v>
      </c>
      <c r="X424" s="11">
        <f t="shared" ca="1" si="223"/>
        <v>7.7671083231583351</v>
      </c>
      <c r="Y424" s="11">
        <f t="shared" ca="1" si="223"/>
        <v>8.1081104477828134</v>
      </c>
      <c r="Z424" s="11">
        <f t="shared" ca="1" si="223"/>
        <v>8.4590979690350547</v>
      </c>
      <c r="AA424" s="11">
        <f t="shared" ca="1" si="223"/>
        <v>8.8203178256963675</v>
      </c>
      <c r="AB424" s="11">
        <f t="shared" ca="1" si="223"/>
        <v>9.1903751572912835</v>
      </c>
      <c r="AC424" s="11">
        <f t="shared" ca="1" si="223"/>
        <v>9.571198596333204</v>
      </c>
    </row>
    <row r="425" spans="1:29" x14ac:dyDescent="0.2">
      <c r="A425" s="31"/>
      <c r="B425" s="4"/>
    </row>
    <row r="426" spans="1:29" x14ac:dyDescent="0.2">
      <c r="A426" s="31" t="s">
        <v>317</v>
      </c>
      <c r="B426" s="4"/>
    </row>
    <row r="427" spans="1:29" x14ac:dyDescent="0.2">
      <c r="A427" s="3" t="s">
        <v>823</v>
      </c>
      <c r="B427" s="4"/>
      <c r="F427" s="21">
        <f t="shared" ref="F427:S427" si="224">-(F$371-MIN(0,F$86))</f>
        <v>0</v>
      </c>
      <c r="G427" s="21">
        <f t="shared" si="224"/>
        <v>0</v>
      </c>
      <c r="H427" s="21">
        <f t="shared" si="224"/>
        <v>0</v>
      </c>
      <c r="I427" s="21">
        <f t="shared" si="224"/>
        <v>0</v>
      </c>
      <c r="J427" s="21">
        <f t="shared" si="224"/>
        <v>1.161</v>
      </c>
      <c r="K427" s="21">
        <f t="shared" si="224"/>
        <v>0.80499999999999994</v>
      </c>
      <c r="L427" s="21">
        <f t="shared" si="224"/>
        <v>1.4680000000000002</v>
      </c>
      <c r="M427" s="21">
        <f t="shared" si="224"/>
        <v>1.7010000000000001</v>
      </c>
      <c r="N427" s="21">
        <f t="shared" si="224"/>
        <v>0.65200000000000014</v>
      </c>
      <c r="O427" s="24">
        <f t="shared" si="224"/>
        <v>1.4849999999999999</v>
      </c>
      <c r="P427" s="24">
        <f t="shared" si="224"/>
        <v>0.90799999999999947</v>
      </c>
      <c r="Q427" s="24">
        <f t="shared" si="224"/>
        <v>0.96300000000000008</v>
      </c>
      <c r="R427" s="24">
        <f t="shared" si="224"/>
        <v>1.0249999999999999</v>
      </c>
      <c r="S427" s="24">
        <f t="shared" si="224"/>
        <v>1.0870000000000002</v>
      </c>
      <c r="T427" s="26">
        <f ca="1">IF(T$4=OFFSET(Choices!$B$10,0,$C$1),AVERAGE(Q$427/Q$368,R$427/R$368,S$427/S$368),S$427/S$368)*T$368</f>
        <v>1.1546048717862976</v>
      </c>
      <c r="U427" s="26">
        <f ca="1">IF(U$4=OFFSET(Choices!$B$10,0,$C$1),AVERAGE(R$427/R$368,S$427/S$368,T$427/T$368),T$427/T$368)*U$368</f>
        <v>1.2221504088673352</v>
      </c>
      <c r="V427" s="26">
        <f ca="1">IF(V$4=OFFSET(Choices!$B$10,0,$C$1),AVERAGE(S$427/S$368,T$427/T$368,U$427/U$368),U$427/U$368)*V$368</f>
        <v>1.3734167051435551</v>
      </c>
      <c r="W427" s="26">
        <f ca="1">IF(W$4=OFFSET(Choices!$B$10,0,$C$1),AVERAGE(T$427/T$368,U$427/U$368,V$427/V$368),V$427/V$368)*W$368</f>
        <v>1.5285395621085787</v>
      </c>
      <c r="X427" s="26">
        <f ca="1">IF(X$4=OFFSET(Choices!$B$10,0,$C$1),AVERAGE(U$427/U$368,V$427/V$368,W$427/W$368),W$427/W$368)*X$368</f>
        <v>1.6872340031835498</v>
      </c>
      <c r="Y427" s="26">
        <f ca="1">IF(Y$4=OFFSET(Choices!$B$10,0,$C$1),AVERAGE(V$427/V$368,W$427/W$368,X$427/X$368),X$427/X$368)*Y$368</f>
        <v>1.8482263293381593</v>
      </c>
      <c r="Z427" s="26">
        <f ca="1">IF(Z$4=OFFSET(Choices!$B$10,0,$C$1),AVERAGE(W$427/W$368,X$427/X$368,Y$427/Y$368),Y$427/Y$368)*Z$368</f>
        <v>2.0103671184788916</v>
      </c>
      <c r="AA427" s="26">
        <f ca="1">IF(AA$4=OFFSET(Choices!$B$10,0,$C$1),AVERAGE(X$427/X$368,Y$427/Y$368,Z$427/Z$368),Z$427/Z$368)*AA$368</f>
        <v>2.1734388974706995</v>
      </c>
      <c r="AB427" s="26">
        <f ca="1">IF(AB$4=OFFSET(Choices!$B$10,0,$C$1),AVERAGE(Y$427/Y$368,Z$427/Z$368,AA$427/AA$368),AA$427/AA$368)*AB$368</f>
        <v>2.3374113215115884</v>
      </c>
      <c r="AC427" s="26">
        <f ca="1">IF(AC$4=OFFSET(Choices!$B$10,0,$C$1),AVERAGE(Z$427/Z$368,AA$427/AA$368,AB$427/AB$368),AB$427/AB$368)*AC$368</f>
        <v>2.5033954927458995</v>
      </c>
    </row>
    <row r="428" spans="1:29" x14ac:dyDescent="0.2">
      <c r="A428" s="3" t="s">
        <v>1186</v>
      </c>
      <c r="B428" s="4" t="str">
        <f>$B$46</f>
        <v>From Fiscal Forecasts</v>
      </c>
      <c r="F428" s="21">
        <f>'Fiscal Forecasts'!F$381</f>
        <v>3.1789999999999998</v>
      </c>
      <c r="G428" s="21">
        <f>'Fiscal Forecasts'!G$381</f>
        <v>4.4509999999999996</v>
      </c>
      <c r="H428" s="21">
        <f>'Fiscal Forecasts'!H$381</f>
        <v>3.7589999999999999</v>
      </c>
      <c r="I428" s="21">
        <f>'Fiscal Forecasts'!I$381</f>
        <v>3.2280000000000002</v>
      </c>
      <c r="J428" s="21">
        <f>'Fiscal Forecasts'!J$381</f>
        <v>3.762</v>
      </c>
      <c r="K428" s="21">
        <f>'Fiscal Forecasts'!K$381</f>
        <v>3.3490000000000002</v>
      </c>
      <c r="L428" s="21">
        <f>'Fiscal Forecasts'!L$381</f>
        <v>3.544</v>
      </c>
      <c r="M428" s="21">
        <f>'Fiscal Forecasts'!M$381</f>
        <v>4.5259999999999998</v>
      </c>
      <c r="N428" s="21">
        <f>'Fiscal Forecasts'!N$381</f>
        <v>4.3540000000000001</v>
      </c>
      <c r="O428" s="24">
        <f>'Fiscal Forecasts'!O$381</f>
        <v>4.0460000000000003</v>
      </c>
      <c r="P428" s="24">
        <f>'Fiscal Forecasts'!P$381</f>
        <v>4.1369999999999996</v>
      </c>
      <c r="Q428" s="24">
        <f>'Fiscal Forecasts'!Q$381</f>
        <v>4.7240000000000002</v>
      </c>
      <c r="R428" s="24">
        <f>'Fiscal Forecasts'!R$381</f>
        <v>5.3609999999999998</v>
      </c>
      <c r="S428" s="24">
        <f>'Fiscal Forecasts'!S$381</f>
        <v>5.8639999999999999</v>
      </c>
      <c r="T428" s="26">
        <f t="shared" ref="T428:AC428" ca="1" si="225">S$428*T$142/S$142</f>
        <v>6.1496672648805708</v>
      </c>
      <c r="U428" s="26">
        <f t="shared" ca="1" si="225"/>
        <v>6.4335632815422992</v>
      </c>
      <c r="V428" s="26">
        <f t="shared" ca="1" si="225"/>
        <v>6.7341525158387343</v>
      </c>
      <c r="W428" s="26">
        <f t="shared" ca="1" si="225"/>
        <v>7.0439186421189675</v>
      </c>
      <c r="X428" s="26">
        <f t="shared" ca="1" si="225"/>
        <v>7.3534586768497521</v>
      </c>
      <c r="Y428" s="26">
        <f t="shared" ca="1" si="225"/>
        <v>7.6763001936427617</v>
      </c>
      <c r="Z428" s="26">
        <f t="shared" ca="1" si="225"/>
        <v>8.0085953189628096</v>
      </c>
      <c r="AA428" s="26">
        <f t="shared" ca="1" si="225"/>
        <v>8.3505778404755837</v>
      </c>
      <c r="AB428" s="26">
        <f t="shared" ca="1" si="225"/>
        <v>8.7009271832078081</v>
      </c>
      <c r="AC428" s="26">
        <f t="shared" ca="1" si="225"/>
        <v>9.061469267296042</v>
      </c>
    </row>
    <row r="429" spans="1:29" x14ac:dyDescent="0.2">
      <c r="A429" s="3" t="s">
        <v>751</v>
      </c>
      <c r="B429" s="4" t="str">
        <f>$B$46</f>
        <v>From Fiscal Forecasts</v>
      </c>
      <c r="F429" s="21">
        <f>'Fiscal Forecasts'!F$383-SUM(F$427:F$428)</f>
        <v>2.1549999999999998</v>
      </c>
      <c r="G429" s="21">
        <f>'Fiscal Forecasts'!G$383-SUM(G$427:G$428)</f>
        <v>2.9740000000000002</v>
      </c>
      <c r="H429" s="21">
        <f>'Fiscal Forecasts'!H$383-SUM(H$427:H$428)</f>
        <v>3.1259999999999999</v>
      </c>
      <c r="I429" s="21">
        <f>'Fiscal Forecasts'!I$383-SUM(I$427:I$428)</f>
        <v>3.8919999999999999</v>
      </c>
      <c r="J429" s="21">
        <f>'Fiscal Forecasts'!J$383-SUM(J$427:J$428)</f>
        <v>2.0739999999999998</v>
      </c>
      <c r="K429" s="21">
        <f>'Fiscal Forecasts'!K$383-SUM(K$427:K$428)</f>
        <v>2.9850000000000003</v>
      </c>
      <c r="L429" s="21">
        <f>'Fiscal Forecasts'!L$383-SUM(L$427:L$428)</f>
        <v>2.8609999999999998</v>
      </c>
      <c r="M429" s="21">
        <f>'Fiscal Forecasts'!M$383-SUM(M$427:M$428)</f>
        <v>2.4309999999999992</v>
      </c>
      <c r="N429" s="21">
        <f>'Fiscal Forecasts'!N$383-SUM(N$427:N$428)</f>
        <v>3.125</v>
      </c>
      <c r="O429" s="24">
        <f>'Fiscal Forecasts'!O$383-SUM(O$427:O$428)</f>
        <v>3.0629999999999988</v>
      </c>
      <c r="P429" s="24">
        <f>'Fiscal Forecasts'!P$383-SUM(P$427:P$428)</f>
        <v>2.7670000000000012</v>
      </c>
      <c r="Q429" s="24">
        <f>'Fiscal Forecasts'!Q$383-SUM(Q$427:Q$428)</f>
        <v>2.4669999999999996</v>
      </c>
      <c r="R429" s="24">
        <f>'Fiscal Forecasts'!R$383-SUM(R$427:R$428)</f>
        <v>2.625</v>
      </c>
      <c r="S429" s="24">
        <f>'Fiscal Forecasts'!S$383-SUM(S$427:S$428)</f>
        <v>2.4740000000000002</v>
      </c>
      <c r="T429" s="26">
        <f ca="1">(S$429/S$11+IF(T$1&gt;0,T$1*IF(T$4=OFFSET(Choices!$B$10,0,$C$1),SUMPRODUCT(OFFSET(S$429,0,0,1,-OFFSET(Choices!$B$59,0,$C$1)),OFFSET(S$13,0,0,1,-OFFSET(Choices!$B$59,0,$C$1)))/OFFSET(Choices!$B$59,0,$C$1)-S$429/S$11,(S$429/S$11-R$429/R$11)/S$1),0))*T$11</f>
        <v>2.6392636068963755</v>
      </c>
      <c r="U429" s="26">
        <f ca="1">(T$429/T$11+IF(U$1&gt;0,U$1*IF(U$4=OFFSET(Choices!$B$10,0,$C$1),SUMPRODUCT(OFFSET(T$429,0,0,1,-OFFSET(Choices!$B$59,0,$C$1)),OFFSET(T$13,0,0,1,-OFFSET(Choices!$B$59,0,$C$1)))/OFFSET(Choices!$B$59,0,$C$1)-T$429/T$11,(T$429/T$11-S$429/S$11)/T$1),0))*U$11</f>
        <v>2.8025373470239345</v>
      </c>
      <c r="V429" s="26">
        <f ca="1">(U$429/U$11+IF(V$1&gt;0,V$1*IF(V$4=OFFSET(Choices!$B$10,0,$C$1),SUMPRODUCT(OFFSET(U$429,0,0,1,-OFFSET(Choices!$B$59,0,$C$1)),OFFSET(U$13,0,0,1,-OFFSET(Choices!$B$59,0,$C$1)))/OFFSET(Choices!$B$59,0,$C$1)-U$429/U$11,(U$429/U$11-T$429/T$11)/U$1),0))*V$11</f>
        <v>2.9646075700712373</v>
      </c>
      <c r="W429" s="26">
        <f ca="1">(V$429/V$11+IF(W$1&gt;0,W$1*IF(W$4=OFFSET(Choices!$B$10,0,$C$1),SUMPRODUCT(OFFSET(V$429,0,0,1,-OFFSET(Choices!$B$59,0,$C$1)),OFFSET(V$13,0,0,1,-OFFSET(Choices!$B$59,0,$C$1)))/OFFSET(Choices!$B$59,0,$C$1)-V$429/V$11,(V$429/V$11-U$429/U$11)/V$1),0))*W$11</f>
        <v>3.1219597021103662</v>
      </c>
      <c r="X429" s="26">
        <f ca="1">(W$429/W$11+IF(X$1&gt;0,X$1*IF(X$4=OFFSET(Choices!$B$10,0,$C$1),SUMPRODUCT(OFFSET(W$429,0,0,1,-OFFSET(Choices!$B$59,0,$C$1)),OFFSET(W$13,0,0,1,-OFFSET(Choices!$B$59,0,$C$1)))/OFFSET(Choices!$B$59,0,$C$1)-W$429/W$11,(W$429/W$11-V$429/V$11)/W$1),0))*X$11</f>
        <v>3.2738160338761717</v>
      </c>
      <c r="Y429" s="26">
        <f ca="1">(X$429/X$11+IF(Y$1&gt;0,Y$1*IF(Y$4=OFFSET(Choices!$B$10,0,$C$1),SUMPRODUCT(OFFSET(X$429,0,0,1,-OFFSET(Choices!$B$59,0,$C$1)),OFFSET(X$13,0,0,1,-OFFSET(Choices!$B$59,0,$C$1)))/OFFSET(Choices!$B$59,0,$C$1)-X$429/X$11,(X$429/X$11-W$429/W$11)/X$1),0))*Y$11</f>
        <v>3.4175475458795352</v>
      </c>
      <c r="Z429" s="26">
        <f ca="1">(Y$429/Y$11+IF(Z$1&gt;0,Z$1*IF(Z$4=OFFSET(Choices!$B$10,0,$C$1),SUMPRODUCT(OFFSET(Y$429,0,0,1,-OFFSET(Choices!$B$59,0,$C$1)),OFFSET(Y$13,0,0,1,-OFFSET(Choices!$B$59,0,$C$1)))/OFFSET(Choices!$B$59,0,$C$1)-Y$429/Y$11,(Y$429/Y$11-X$429/X$11)/Y$1),0))*Z$11</f>
        <v>3.5654878766896498</v>
      </c>
      <c r="AA429" s="26">
        <f ca="1">(Z$429/Z$11+IF(AA$1&gt;0,AA$1*IF(AA$4=OFFSET(Choices!$B$10,0,$C$1),SUMPRODUCT(OFFSET(Z$429,0,0,1,-OFFSET(Choices!$B$59,0,$C$1)),OFFSET(Z$13,0,0,1,-OFFSET(Choices!$B$59,0,$C$1)))/OFFSET(Choices!$B$59,0,$C$1)-Z$429/Z$11,(Z$429/Z$11-Y$429/Y$11)/Z$1),0))*AA$11</f>
        <v>3.7177411103630265</v>
      </c>
      <c r="AB429" s="26">
        <f ca="1">(AA$429/AA$11+IF(AB$1&gt;0,AB$1*IF(AB$4=OFFSET(Choices!$B$10,0,$C$1),SUMPRODUCT(OFFSET(AA$429,0,0,1,-OFFSET(Choices!$B$59,0,$C$1)),OFFSET(AA$13,0,0,1,-OFFSET(Choices!$B$59,0,$C$1)))/OFFSET(Choices!$B$59,0,$C$1)-AA$429/AA$11,(AA$429/AA$11-Z$429/Z$11)/AA$1),0))*AB$11</f>
        <v>3.873719316823296</v>
      </c>
      <c r="AC429" s="26">
        <f ca="1">(AB$429/AB$11+IF(AC$1&gt;0,AC$1*IF(AC$4=OFFSET(Choices!$B$10,0,$C$1),SUMPRODUCT(OFFSET(AB$429,0,0,1,-OFFSET(Choices!$B$59,0,$C$1)),OFFSET(AB$13,0,0,1,-OFFSET(Choices!$B$59,0,$C$1)))/OFFSET(Choices!$B$59,0,$C$1)-AB$429/AB$11,(AB$429/AB$11-AA$429/AA$11)/AB$1),0))*AC$11</f>
        <v>4.0342354096778301</v>
      </c>
    </row>
    <row r="430" spans="1:29" x14ac:dyDescent="0.2">
      <c r="A430" s="31" t="s">
        <v>752</v>
      </c>
      <c r="B430" s="4"/>
      <c r="F430" s="56">
        <f>SUM(F$427:F$429)</f>
        <v>5.3339999999999996</v>
      </c>
      <c r="G430" s="56">
        <f t="shared" ref="G430:AC430" si="226">SUM(G$427:G$429)</f>
        <v>7.4249999999999998</v>
      </c>
      <c r="H430" s="56">
        <f t="shared" si="226"/>
        <v>6.8849999999999998</v>
      </c>
      <c r="I430" s="56">
        <f t="shared" si="226"/>
        <v>7.12</v>
      </c>
      <c r="J430" s="56">
        <f t="shared" si="226"/>
        <v>6.9969999999999999</v>
      </c>
      <c r="K430" s="56">
        <f t="shared" si="226"/>
        <v>7.1390000000000002</v>
      </c>
      <c r="L430" s="56">
        <f t="shared" si="226"/>
        <v>7.8730000000000002</v>
      </c>
      <c r="M430" s="56">
        <f t="shared" si="226"/>
        <v>8.6579999999999995</v>
      </c>
      <c r="N430" s="56">
        <f t="shared" si="226"/>
        <v>8.1310000000000002</v>
      </c>
      <c r="O430" s="57">
        <f t="shared" si="226"/>
        <v>8.5939999999999994</v>
      </c>
      <c r="P430" s="57">
        <f t="shared" si="226"/>
        <v>7.8120000000000003</v>
      </c>
      <c r="Q430" s="57">
        <f t="shared" si="226"/>
        <v>8.1539999999999999</v>
      </c>
      <c r="R430" s="57">
        <f t="shared" si="226"/>
        <v>9.0109999999999992</v>
      </c>
      <c r="S430" s="57">
        <f t="shared" si="226"/>
        <v>9.4250000000000007</v>
      </c>
      <c r="T430" s="58">
        <f t="shared" ca="1" si="226"/>
        <v>9.9435357435632437</v>
      </c>
      <c r="U430" s="58">
        <f t="shared" ca="1" si="226"/>
        <v>10.458251037433568</v>
      </c>
      <c r="V430" s="58">
        <f t="shared" ca="1" si="226"/>
        <v>11.072176791053527</v>
      </c>
      <c r="W430" s="58">
        <f t="shared" ca="1" si="226"/>
        <v>11.694417906337913</v>
      </c>
      <c r="X430" s="58">
        <f t="shared" ca="1" si="226"/>
        <v>12.314508713909474</v>
      </c>
      <c r="Y430" s="58">
        <f t="shared" ca="1" si="226"/>
        <v>12.942074068860457</v>
      </c>
      <c r="Z430" s="58">
        <f t="shared" ca="1" si="226"/>
        <v>13.584450314131351</v>
      </c>
      <c r="AA430" s="58">
        <f t="shared" ca="1" si="226"/>
        <v>14.241757848309309</v>
      </c>
      <c r="AB430" s="58">
        <f t="shared" ca="1" si="226"/>
        <v>14.912057821542692</v>
      </c>
      <c r="AC430" s="58">
        <f t="shared" ca="1" si="226"/>
        <v>15.599100169719772</v>
      </c>
    </row>
    <row r="431" spans="1:29" x14ac:dyDescent="0.2">
      <c r="A431" s="31" t="s">
        <v>753</v>
      </c>
      <c r="B431" s="4" t="str">
        <f>$B$46</f>
        <v>From Fiscal Forecasts</v>
      </c>
      <c r="F431" s="23">
        <f>SUM('Fiscal Forecasts'!F$127)</f>
        <v>8.0749999999999993</v>
      </c>
      <c r="G431" s="23">
        <f>SUM('Fiscal Forecasts'!G$127)</f>
        <v>10.895</v>
      </c>
      <c r="H431" s="23">
        <f>SUM('Fiscal Forecasts'!H$127)</f>
        <v>9.1389999999999993</v>
      </c>
      <c r="I431" s="23">
        <f>SUM('Fiscal Forecasts'!I$127)</f>
        <v>9.9309999999999992</v>
      </c>
      <c r="J431" s="23">
        <f>SUM('Fiscal Forecasts'!J$127)</f>
        <v>11.099</v>
      </c>
      <c r="K431" s="23">
        <f>SUM('Fiscal Forecasts'!K$127)</f>
        <v>11.603999999999999</v>
      </c>
      <c r="L431" s="23">
        <f>SUM('Fiscal Forecasts'!L$127)</f>
        <v>11.16</v>
      </c>
      <c r="M431" s="23">
        <f>SUM('Fiscal Forecasts'!M$127)</f>
        <v>12.117000000000001</v>
      </c>
      <c r="N431" s="23">
        <f>SUM('Fiscal Forecasts'!N$127)</f>
        <v>11.952999999999999</v>
      </c>
      <c r="O431" s="25">
        <f>SUM('Fiscal Forecasts'!O$127)</f>
        <v>12.38</v>
      </c>
      <c r="P431" s="25">
        <f>SUM('Fiscal Forecasts'!P$127)</f>
        <v>11.76</v>
      </c>
      <c r="Q431" s="25">
        <f>SUM('Fiscal Forecasts'!Q$127)</f>
        <v>12.109</v>
      </c>
      <c r="R431" s="25">
        <f>SUM('Fiscal Forecasts'!R$127)</f>
        <v>12.958</v>
      </c>
      <c r="S431" s="25">
        <f>SUM('Fiscal Forecasts'!S$127)</f>
        <v>12.771000000000001</v>
      </c>
      <c r="T431" s="11">
        <f ca="1">((S$431-S$430+S$114)/S$11+IF(T$1&gt;0,T$1*IF(T$4=OFFSET(Choices!$B$10,0,$C$1),(SUMPRODUCT(OFFSET(S$431,0,0,1,-OFFSET(Choices!$B$59,0,$C$1)),OFFSET(S$13,0,0,1,-OFFSET(Choices!$B$59,0,$C$1)))-SUMPRODUCT(OFFSET(S$430,0,0,1,-OFFSET(Choices!$B$59,0,$C$1)),OFFSET(S$13,0,0,1,-OFFSET(Choices!$B$59,0,$C$1)))+SUMPRODUCT(OFFSET(S$114,0,0,1,-OFFSET(Choices!$B$59,0,$C$1)),OFFSET(S$13,0,0,1,-OFFSET(Choices!$B$59,0,$C$1))))/OFFSET(Choices!$B$59,0,$C$1)-(S$431-S$430+S$114)/S$11,((S$431-S$430+S$114)/S$11-(R$431-R$430+R$114)/R$11)/S$1),0))*T$11 +T$430-T$114</f>
        <v>13.668737103448978</v>
      </c>
      <c r="U431" s="11">
        <f ca="1">((T$431-T$430+T$114)/T$11+IF(U$1&gt;0,U$1*IF(U$4=OFFSET(Choices!$B$10,0,$C$1),(SUMPRODUCT(OFFSET(T$431,0,0,1,-OFFSET(Choices!$B$59,0,$C$1)),OFFSET(T$13,0,0,1,-OFFSET(Choices!$B$59,0,$C$1)))-SUMPRODUCT(OFFSET(T$430,0,0,1,-OFFSET(Choices!$B$59,0,$C$1)),OFFSET(T$13,0,0,1,-OFFSET(Choices!$B$59,0,$C$1)))+SUMPRODUCT(OFFSET(T$114,0,0,1,-OFFSET(Choices!$B$59,0,$C$1)),OFFSET(T$13,0,0,1,-OFFSET(Choices!$B$59,0,$C$1))))/OFFSET(Choices!$B$59,0,$C$1)-(T$431-T$430+T$114)/T$11,((T$431-T$430+T$114)/T$11-(S$431-S$430+S$114)/S$11)/T$1),0))*U$11 +U$430-U$114</f>
        <v>14.494138055215169</v>
      </c>
      <c r="V431" s="11">
        <f ca="1">((U$431-U$430+U$114)/U$11+IF(V$1&gt;0,V$1*IF(V$4=OFFSET(Choices!$B$10,0,$C$1),(SUMPRODUCT(OFFSET(U$431,0,0,1,-OFFSET(Choices!$B$59,0,$C$1)),OFFSET(U$13,0,0,1,-OFFSET(Choices!$B$59,0,$C$1)))-SUMPRODUCT(OFFSET(U$430,0,0,1,-OFFSET(Choices!$B$59,0,$C$1)),OFFSET(U$13,0,0,1,-OFFSET(Choices!$B$59,0,$C$1)))+SUMPRODUCT(OFFSET(U$114,0,0,1,-OFFSET(Choices!$B$59,0,$C$1)),OFFSET(U$13,0,0,1,-OFFSET(Choices!$B$59,0,$C$1))))/OFFSET(Choices!$B$59,0,$C$1)-(U$431-U$430+U$114)/U$11,((U$431-U$430+U$114)/U$11-(T$431-T$430+T$114)/T$11)/U$1),0))*V$11 +V$430-V$114</f>
        <v>15.399142931245704</v>
      </c>
      <c r="W431" s="11">
        <f ca="1">((V$431-V$430+V$114)/V$11+IF(W$1&gt;0,W$1*IF(W$4=OFFSET(Choices!$B$10,0,$C$1),(SUMPRODUCT(OFFSET(V$431,0,0,1,-OFFSET(Choices!$B$59,0,$C$1)),OFFSET(V$13,0,0,1,-OFFSET(Choices!$B$59,0,$C$1)))-SUMPRODUCT(OFFSET(V$430,0,0,1,-OFFSET(Choices!$B$59,0,$C$1)),OFFSET(V$13,0,0,1,-OFFSET(Choices!$B$59,0,$C$1)))+SUMPRODUCT(OFFSET(V$114,0,0,1,-OFFSET(Choices!$B$59,0,$C$1)),OFFSET(V$13,0,0,1,-OFFSET(Choices!$B$59,0,$C$1))))/OFFSET(Choices!$B$59,0,$C$1)-(V$431-V$430+V$114)/V$11,((V$431-V$430+V$114)/V$11-(U$431-U$430+U$114)/U$11)/V$1),0))*W$11 +W$430-W$114</f>
        <v>16.285363717781955</v>
      </c>
      <c r="X431" s="11">
        <f ca="1">((W$431-W$430+W$114)/W$11+IF(X$1&gt;0,X$1*IF(X$4=OFFSET(Choices!$B$10,0,$C$1),(SUMPRODUCT(OFFSET(W$431,0,0,1,-OFFSET(Choices!$B$59,0,$C$1)),OFFSET(W$13,0,0,1,-OFFSET(Choices!$B$59,0,$C$1)))-SUMPRODUCT(OFFSET(W$430,0,0,1,-OFFSET(Choices!$B$59,0,$C$1)),OFFSET(W$13,0,0,1,-OFFSET(Choices!$B$59,0,$C$1)))+SUMPRODUCT(OFFSET(W$114,0,0,1,-OFFSET(Choices!$B$59,0,$C$1)),OFFSET(W$13,0,0,1,-OFFSET(Choices!$B$59,0,$C$1))))/OFFSET(Choices!$B$59,0,$C$1)-(W$431-W$430+W$114)/W$11,((W$431-W$430+W$114)/W$11-(V$431-V$430+V$114)/V$11)/W$1),0))*X$11 +X$430-X$114</f>
        <v>17.13787235352985</v>
      </c>
      <c r="Y431" s="11">
        <f ca="1">((X$431-X$430+X$114)/X$11+IF(Y$1&gt;0,Y$1*IF(Y$4=OFFSET(Choices!$B$10,0,$C$1),(SUMPRODUCT(OFFSET(X$431,0,0,1,-OFFSET(Choices!$B$59,0,$C$1)),OFFSET(X$13,0,0,1,-OFFSET(Choices!$B$59,0,$C$1)))-SUMPRODUCT(OFFSET(X$430,0,0,1,-OFFSET(Choices!$B$59,0,$C$1)),OFFSET(X$13,0,0,1,-OFFSET(Choices!$B$59,0,$C$1)))+SUMPRODUCT(OFFSET(X$114,0,0,1,-OFFSET(Choices!$B$59,0,$C$1)),OFFSET(X$13,0,0,1,-OFFSET(Choices!$B$59,0,$C$1))))/OFFSET(Choices!$B$59,0,$C$1)-(X$431-X$430+X$114)/X$11,((X$431-X$430+X$114)/X$11-(W$431-W$430+W$114)/W$11)/X$1),0))*Y$11 +Y$430-Y$114</f>
        <v>17.959184274984601</v>
      </c>
      <c r="Z431" s="11">
        <f ca="1">((Y$431-Y$430+Y$114)/Y$11+IF(Z$1&gt;0,Z$1*IF(Z$4=OFFSET(Choices!$B$10,0,$C$1),(SUMPRODUCT(OFFSET(Y$431,0,0,1,-OFFSET(Choices!$B$59,0,$C$1)),OFFSET(Y$13,0,0,1,-OFFSET(Choices!$B$59,0,$C$1)))-SUMPRODUCT(OFFSET(Y$430,0,0,1,-OFFSET(Choices!$B$59,0,$C$1)),OFFSET(Y$13,0,0,1,-OFFSET(Choices!$B$59,0,$C$1)))+SUMPRODUCT(OFFSET(Y$114,0,0,1,-OFFSET(Choices!$B$59,0,$C$1)),OFFSET(Y$13,0,0,1,-OFFSET(Choices!$B$59,0,$C$1))))/OFFSET(Choices!$B$59,0,$C$1)-(Y$431-Y$430+Y$114)/Y$11,((Y$431-Y$430+Y$114)/Y$11-(X$431-X$430+X$114)/X$11)/Y$1),0))*Z$11 +Z$430-Z$114</f>
        <v>18.801735757000685</v>
      </c>
      <c r="AA431" s="11">
        <f ca="1">((Z$431-Z$430+Z$114)/Z$11+IF(AA$1&gt;0,AA$1*IF(AA$4=OFFSET(Choices!$B$10,0,$C$1),(SUMPRODUCT(OFFSET(Z$431,0,0,1,-OFFSET(Choices!$B$59,0,$C$1)),OFFSET(Z$13,0,0,1,-OFFSET(Choices!$B$59,0,$C$1)))-SUMPRODUCT(OFFSET(Z$430,0,0,1,-OFFSET(Choices!$B$59,0,$C$1)),OFFSET(Z$13,0,0,1,-OFFSET(Choices!$B$59,0,$C$1)))+SUMPRODUCT(OFFSET(Z$114,0,0,1,-OFFSET(Choices!$B$59,0,$C$1)),OFFSET(Z$13,0,0,1,-OFFSET(Choices!$B$59,0,$C$1))))/OFFSET(Choices!$B$59,0,$C$1)-(Z$431-Z$430+Z$114)/Z$11,((Z$431-Z$430+Z$114)/Z$11-(Y$431-Y$430+Y$114)/Y$11)/Z$1),0))*AA$11 +AA$430-AA$114</f>
        <v>19.665783966682188</v>
      </c>
      <c r="AB431" s="11">
        <f ca="1">((AA$431-AA$430+AA$114)/AA$11+IF(AB$1&gt;0,AB$1*IF(AB$4=OFFSET(Choices!$B$10,0,$C$1),(SUMPRODUCT(OFFSET(AA$431,0,0,1,-OFFSET(Choices!$B$59,0,$C$1)),OFFSET(AA$13,0,0,1,-OFFSET(Choices!$B$59,0,$C$1)))-SUMPRODUCT(OFFSET(AA$430,0,0,1,-OFFSET(Choices!$B$59,0,$C$1)),OFFSET(AA$13,0,0,1,-OFFSET(Choices!$B$59,0,$C$1)))+SUMPRODUCT(OFFSET(AA$114,0,0,1,-OFFSET(Choices!$B$59,0,$C$1)),OFFSET(AA$13,0,0,1,-OFFSET(Choices!$B$59,0,$C$1))))/OFFSET(Choices!$B$59,0,$C$1)-(AA$431-AA$430+AA$114)/AA$11,((AA$431-AA$430+AA$114)/AA$11-(Z$431-Z$430+Z$114)/Z$11)/AA$1),0))*AB$11 +AB$430-AB$114</f>
        <v>20.548636029671727</v>
      </c>
      <c r="AC431" s="11">
        <f ca="1">((AB$431-AB$430+AB$114)/AB$11+IF(AC$1&gt;0,AC$1*IF(AC$4=OFFSET(Choices!$B$10,0,$C$1),(SUMPRODUCT(OFFSET(AB$431,0,0,1,-OFFSET(Choices!$B$59,0,$C$1)),OFFSET(AB$13,0,0,1,-OFFSET(Choices!$B$59,0,$C$1)))-SUMPRODUCT(OFFSET(AB$430,0,0,1,-OFFSET(Choices!$B$59,0,$C$1)),OFFSET(AB$13,0,0,1,-OFFSET(Choices!$B$59,0,$C$1)))+SUMPRODUCT(OFFSET(AB$114,0,0,1,-OFFSET(Choices!$B$59,0,$C$1)),OFFSET(AB$13,0,0,1,-OFFSET(Choices!$B$59,0,$C$1))))/OFFSET(Choices!$B$59,0,$C$1)-(AB$431-AB$430+AB$114)/AB$11,((AB$431-AB$430+AB$114)/AB$11-(AA$431-AA$430+AA$114)/AA$11)/AB$1),0))*AC$11 +AC$430-AC$114</f>
        <v>21.45508736409591</v>
      </c>
    </row>
    <row r="432" spans="1:29" x14ac:dyDescent="0.2">
      <c r="B432" s="4"/>
    </row>
    <row r="433" spans="1:29" x14ac:dyDescent="0.2">
      <c r="A433" s="31" t="s">
        <v>700</v>
      </c>
      <c r="B433" s="4" t="str">
        <f>$B$46</f>
        <v>From Fiscal Forecasts</v>
      </c>
      <c r="F433" s="23">
        <f>'Fiscal Forecasts'!F$196</f>
        <v>6.0999999999999999E-2</v>
      </c>
      <c r="G433" s="23">
        <f>'Fiscal Forecasts'!G$196</f>
        <v>5.6000000000000001E-2</v>
      </c>
      <c r="H433" s="23">
        <f>'Fiscal Forecasts'!H$196</f>
        <v>0.27500000000000002</v>
      </c>
      <c r="I433" s="23">
        <f>'Fiscal Forecasts'!I$196</f>
        <v>0.45500000000000002</v>
      </c>
      <c r="J433" s="23">
        <f>'Fiscal Forecasts'!J$196</f>
        <v>0.437</v>
      </c>
      <c r="K433" s="23">
        <f>'Fiscal Forecasts'!K$196</f>
        <v>0.41599999999999998</v>
      </c>
      <c r="L433" s="23">
        <f>'Fiscal Forecasts'!L$196</f>
        <v>0.39899999999999997</v>
      </c>
      <c r="M433" s="23">
        <f>'Fiscal Forecasts'!M$196</f>
        <v>0.56299999999999994</v>
      </c>
      <c r="N433" s="23">
        <f>'Fiscal Forecasts'!N$196</f>
        <v>0.57299999999999995</v>
      </c>
      <c r="O433" s="25">
        <f>'Fiscal Forecasts'!O$196</f>
        <v>0.53100000000000003</v>
      </c>
      <c r="P433" s="25">
        <f>'Fiscal Forecasts'!P$196</f>
        <v>0.5</v>
      </c>
      <c r="Q433" s="25">
        <f>'Fiscal Forecasts'!Q$196</f>
        <v>0.47399999999999998</v>
      </c>
      <c r="R433" s="25">
        <f>'Fiscal Forecasts'!R$196</f>
        <v>0.44600000000000001</v>
      </c>
      <c r="S433" s="25">
        <f>'Fiscal Forecasts'!S$196</f>
        <v>0.41899999999999998</v>
      </c>
      <c r="T433" s="11">
        <f ca="1">(S$433/S$11+IF(T$1&gt;0,T$1*IF(T$4=OFFSET(Choices!$B$10,0,$C$1),SUMPRODUCT(OFFSET(S$433,0,0,1,-OFFSET(Choices!$B$59,0,$C$1)),OFFSET(S$13,0,0,1,-OFFSET(Choices!$B$59,0,$C$1)))/OFFSET(Choices!$B$59,0,$C$1)-S$433/S$11,(S$433/S$11-R$433/R$11)/S$1),0))*T$11</f>
        <v>0.45428411652950001</v>
      </c>
      <c r="U433" s="11">
        <f ca="1">(T$433/T$11+IF(U$1&gt;0,U$1*IF(U$4=OFFSET(Choices!$B$10,0,$C$1),SUMPRODUCT(OFFSET(T$433,0,0,1,-OFFSET(Choices!$B$59,0,$C$1)),OFFSET(T$13,0,0,1,-OFFSET(Choices!$B$59,0,$C$1)))/OFFSET(Choices!$B$59,0,$C$1)-T$433/T$11,(T$433/T$11-S$433/S$11)/T$1),0))*U$11</f>
        <v>0.48835434983022352</v>
      </c>
      <c r="V433" s="11">
        <f ca="1">(U$433/U$11+IF(V$1&gt;0,V$1*IF(V$4=OFFSET(Choices!$B$10,0,$C$1),SUMPRODUCT(OFFSET(U$433,0,0,1,-OFFSET(Choices!$B$59,0,$C$1)),OFFSET(U$13,0,0,1,-OFFSET(Choices!$B$59,0,$C$1)))/OFFSET(Choices!$B$59,0,$C$1)-U$433/U$11,(U$433/U$11-T$433/T$11)/U$1),0))*V$11</f>
        <v>0.52119448797452472</v>
      </c>
      <c r="W433" s="11">
        <f ca="1">(V$433/V$11+IF(W$1&gt;0,W$1*IF(W$4=OFFSET(Choices!$B$10,0,$C$1),SUMPRODUCT(OFFSET(V$433,0,0,1,-OFFSET(Choices!$B$59,0,$C$1)),OFFSET(V$13,0,0,1,-OFFSET(Choices!$B$59,0,$C$1)))/OFFSET(Choices!$B$59,0,$C$1)-V$433/V$11,(V$433/V$11-U$433/U$11)/V$1),0))*W$11</f>
        <v>0.55202110063642573</v>
      </c>
      <c r="X433" s="11">
        <f ca="1">(W$433/W$11+IF(X$1&gt;0,X$1*IF(X$4=OFFSET(Choices!$B$10,0,$C$1),SUMPRODUCT(OFFSET(W$433,0,0,1,-OFFSET(Choices!$B$59,0,$C$1)),OFFSET(W$13,0,0,1,-OFFSET(Choices!$B$59,0,$C$1)))/OFFSET(Choices!$B$59,0,$C$1)-W$433/W$11,(W$433/W$11-V$433/V$11)/W$1),0))*X$11</f>
        <v>0.58051065807197488</v>
      </c>
      <c r="Y433" s="11">
        <f ca="1">(X$433/X$11+IF(Y$1&gt;0,Y$1*IF(Y$4=OFFSET(Choices!$B$10,0,$C$1),SUMPRODUCT(OFFSET(X$433,0,0,1,-OFFSET(Choices!$B$59,0,$C$1)),OFFSET(X$13,0,0,1,-OFFSET(Choices!$B$59,0,$C$1)))/OFFSET(Choices!$B$59,0,$C$1)-X$433/X$11,(X$433/X$11-W$433/W$11)/X$1),0))*Y$11</f>
        <v>0.6059970243660403</v>
      </c>
      <c r="Z433" s="11">
        <f ca="1">(Y$433/Y$11+IF(Z$1&gt;0,Z$1*IF(Z$4=OFFSET(Choices!$B$10,0,$C$1),SUMPRODUCT(OFFSET(Y$433,0,0,1,-OFFSET(Choices!$B$59,0,$C$1)),OFFSET(Y$13,0,0,1,-OFFSET(Choices!$B$59,0,$C$1)))/OFFSET(Choices!$B$59,0,$C$1)-Y$433/Y$11,(Y$433/Y$11-X$433/X$11)/Y$1),0))*Z$11</f>
        <v>0.63222969532412188</v>
      </c>
      <c r="AA433" s="11">
        <f ca="1">(Z$433/Z$11+IF(AA$1&gt;0,AA$1*IF(AA$4=OFFSET(Choices!$B$10,0,$C$1),SUMPRODUCT(OFFSET(Z$433,0,0,1,-OFFSET(Choices!$B$59,0,$C$1)),OFFSET(Z$13,0,0,1,-OFFSET(Choices!$B$59,0,$C$1)))/OFFSET(Choices!$B$59,0,$C$1)-Z$433/Z$11,(Z$433/Z$11-Y$433/Y$11)/Z$1),0))*AA$11</f>
        <v>0.6592271270547837</v>
      </c>
      <c r="AB433" s="11">
        <f ca="1">(AA$433/AA$11+IF(AB$1&gt;0,AB$1*IF(AB$4=OFFSET(Choices!$B$10,0,$C$1),SUMPRODUCT(OFFSET(AA$433,0,0,1,-OFFSET(Choices!$B$59,0,$C$1)),OFFSET(AA$13,0,0,1,-OFFSET(Choices!$B$59,0,$C$1)))/OFFSET(Choices!$B$59,0,$C$1)-AA$433/AA$11,(AA$433/AA$11-Z$433/Z$11)/AA$1),0))*AB$11</f>
        <v>0.68688506822807882</v>
      </c>
      <c r="AC433" s="11">
        <f ca="1">(AB$433/AB$11+IF(AC$1&gt;0,AC$1*IF(AC$4=OFFSET(Choices!$B$10,0,$C$1),SUMPRODUCT(OFFSET(AB$433,0,0,1,-OFFSET(Choices!$B$59,0,$C$1)),OFFSET(AB$13,0,0,1,-OFFSET(Choices!$B$59,0,$C$1)))/OFFSET(Choices!$B$59,0,$C$1)-AB$433/AB$11,(AB$433/AB$11-AA$433/AA$11)/AB$1),0))*AC$11</f>
        <v>0.7153476640886659</v>
      </c>
    </row>
    <row r="434" spans="1:29" x14ac:dyDescent="0.2">
      <c r="A434" s="31" t="s">
        <v>756</v>
      </c>
      <c r="B434" s="4" t="str">
        <f>$B$46</f>
        <v>From Fiscal Forecasts</v>
      </c>
      <c r="F434" s="23">
        <f>'Fiscal Forecasts'!F$128</f>
        <v>0.96599999999999997</v>
      </c>
      <c r="G434" s="23">
        <f>'Fiscal Forecasts'!G$128</f>
        <v>1.292</v>
      </c>
      <c r="H434" s="23">
        <f>'Fiscal Forecasts'!H$128</f>
        <v>1.4259999999999999</v>
      </c>
      <c r="I434" s="23">
        <f>'Fiscal Forecasts'!I$128</f>
        <v>1.6279999999999999</v>
      </c>
      <c r="J434" s="23">
        <f>'Fiscal Forecasts'!J$128</f>
        <v>1.6739999999999999</v>
      </c>
      <c r="K434" s="23">
        <f>'Fiscal Forecasts'!K$128</f>
        <v>1.712</v>
      </c>
      <c r="L434" s="23">
        <f>'Fiscal Forecasts'!L$128</f>
        <v>1.714</v>
      </c>
      <c r="M434" s="23">
        <f>'Fiscal Forecasts'!M$128</f>
        <v>1.962</v>
      </c>
      <c r="N434" s="23">
        <f>'Fiscal Forecasts'!N$128</f>
        <v>2.1120000000000001</v>
      </c>
      <c r="O434" s="25">
        <f>'Fiscal Forecasts'!O$128</f>
        <v>2.169</v>
      </c>
      <c r="P434" s="25">
        <f>'Fiscal Forecasts'!P$128</f>
        <v>2.1760000000000002</v>
      </c>
      <c r="Q434" s="25">
        <f>'Fiscal Forecasts'!Q$128</f>
        <v>2.1880000000000002</v>
      </c>
      <c r="R434" s="25">
        <f>'Fiscal Forecasts'!R$128</f>
        <v>2.1989999999999998</v>
      </c>
      <c r="S434" s="25">
        <f>'Fiscal Forecasts'!S$128</f>
        <v>2.214</v>
      </c>
      <c r="T434" s="11">
        <f ca="1">((S$434-S$433)/S$11+IF(T$1&gt;0,T$1*IF(T$4=OFFSET(Choices!$B$10,0,$C$1),(SUMPRODUCT(OFFSET(S$434,0,0,1,-OFFSET(Choices!$B$59,0,$C$1)),OFFSET(S$13,0,0,1,-OFFSET(Choices!$B$59,0,$C$1)))-SUMPRODUCT(OFFSET(S$433,0,0,1,-OFFSET(Choices!$B$59,0,$C$1)),OFFSET(S$13,0,0,1,-OFFSET(Choices!$B$59,0,$C$1))))/OFFSET(Choices!$B$59,0,$C$1)-(S$434-S$433)/S$11,((S$434-S$433)/S$11-(R$434-R$433)/R$11)/S$1),0))*T$11 +T$433</f>
        <v>2.3412728062734787</v>
      </c>
      <c r="U434" s="11">
        <f ca="1">((T$434-T$433)/T$11+IF(U$1&gt;0,U$1*IF(U$4=OFFSET(Choices!$B$10,0,$C$1),(SUMPRODUCT(OFFSET(T$434,0,0,1,-OFFSET(Choices!$B$59,0,$C$1)),OFFSET(T$13,0,0,1,-OFFSET(Choices!$B$59,0,$C$1)))-SUMPRODUCT(OFFSET(T$433,0,0,1,-OFFSET(Choices!$B$59,0,$C$1)),OFFSET(T$13,0,0,1,-OFFSET(Choices!$B$59,0,$C$1))))/OFFSET(Choices!$B$59,0,$C$1)-(T$434-T$433)/T$11,((T$434-T$433)/T$11-(S$434-S$433)/S$11)/T$1),0))*U$11 +U$433</f>
        <v>2.4692438240676307</v>
      </c>
      <c r="V434" s="11">
        <f ca="1">((U$434-U$433)/U$11+IF(V$1&gt;0,V$1*IF(V$4=OFFSET(Choices!$B$10,0,$C$1),(SUMPRODUCT(OFFSET(U$434,0,0,1,-OFFSET(Choices!$B$59,0,$C$1)),OFFSET(U$13,0,0,1,-OFFSET(Choices!$B$59,0,$C$1)))-SUMPRODUCT(OFFSET(U$433,0,0,1,-OFFSET(Choices!$B$59,0,$C$1)),OFFSET(U$13,0,0,1,-OFFSET(Choices!$B$59,0,$C$1))))/OFFSET(Choices!$B$59,0,$C$1)-(U$434-U$433)/U$11,((U$434-U$433)/U$11-(T$434-T$433)/T$11)/U$1),0))*V$11 +V$433</f>
        <v>2.5990390910379193</v>
      </c>
      <c r="W434" s="11">
        <f ca="1">((V$434-V$433)/V$11+IF(W$1&gt;0,W$1*IF(W$4=OFFSET(Choices!$B$10,0,$C$1),(SUMPRODUCT(OFFSET(V$434,0,0,1,-OFFSET(Choices!$B$59,0,$C$1)),OFFSET(V$13,0,0,1,-OFFSET(Choices!$B$59,0,$C$1)))-SUMPRODUCT(OFFSET(V$433,0,0,1,-OFFSET(Choices!$B$59,0,$C$1)),OFFSET(V$13,0,0,1,-OFFSET(Choices!$B$59,0,$C$1))))/OFFSET(Choices!$B$59,0,$C$1)-(V$434-V$433)/V$11,((V$434-V$433)/V$11-(U$434-U$433)/U$11)/V$1),0))*W$11 +W$433</f>
        <v>2.7280454298294767</v>
      </c>
      <c r="X434" s="11">
        <f ca="1">((W$434-W$433)/W$11+IF(X$1&gt;0,X$1*IF(X$4=OFFSET(Choices!$B$10,0,$C$1),(SUMPRODUCT(OFFSET(W$434,0,0,1,-OFFSET(Choices!$B$59,0,$C$1)),OFFSET(W$13,0,0,1,-OFFSET(Choices!$B$59,0,$C$1)))-SUMPRODUCT(OFFSET(W$433,0,0,1,-OFFSET(Choices!$B$59,0,$C$1)),OFFSET(W$13,0,0,1,-OFFSET(Choices!$B$59,0,$C$1))))/OFFSET(Choices!$B$59,0,$C$1)-(W$434-W$433)/W$11,((W$434-W$433)/W$11-(V$434-V$433)/V$11)/W$1),0))*X$11 +X$433</f>
        <v>2.8561091322302126</v>
      </c>
      <c r="Y434" s="11">
        <f ca="1">((X$434-X$433)/X$11+IF(Y$1&gt;0,Y$1*IF(Y$4=OFFSET(Choices!$B$10,0,$C$1),(SUMPRODUCT(OFFSET(X$434,0,0,1,-OFFSET(Choices!$B$59,0,$C$1)),OFFSET(X$13,0,0,1,-OFFSET(Choices!$B$59,0,$C$1)))-SUMPRODUCT(OFFSET(X$433,0,0,1,-OFFSET(Choices!$B$59,0,$C$1)),OFFSET(X$13,0,0,1,-OFFSET(Choices!$B$59,0,$C$1))))/OFFSET(Choices!$B$59,0,$C$1)-(X$434-X$433)/X$11,((X$434-X$433)/X$11-(W$434-W$433)/W$11)/X$1),0))*Y$11 +Y$433</f>
        <v>2.9815019092751762</v>
      </c>
      <c r="Z434" s="11">
        <f ca="1">((Y$434-Y$433)/Y$11+IF(Z$1&gt;0,Z$1*IF(Z$4=OFFSET(Choices!$B$10,0,$C$1),(SUMPRODUCT(OFFSET(Y$434,0,0,1,-OFFSET(Choices!$B$59,0,$C$1)),OFFSET(Y$13,0,0,1,-OFFSET(Choices!$B$59,0,$C$1)))-SUMPRODUCT(OFFSET(Y$433,0,0,1,-OFFSET(Choices!$B$59,0,$C$1)),OFFSET(Y$13,0,0,1,-OFFSET(Choices!$B$59,0,$C$1))))/OFFSET(Choices!$B$59,0,$C$1)-(Y$434-Y$433)/Y$11,((Y$434-Y$433)/Y$11-(X$434-X$433)/X$11)/Y$1),0))*Z$11 +Z$433</f>
        <v>3.1105665010175692</v>
      </c>
      <c r="AA434" s="11">
        <f ca="1">((Z$434-Z$433)/Z$11+IF(AA$1&gt;0,AA$1*IF(AA$4=OFFSET(Choices!$B$10,0,$C$1),(SUMPRODUCT(OFFSET(Z$434,0,0,1,-OFFSET(Choices!$B$59,0,$C$1)),OFFSET(Z$13,0,0,1,-OFFSET(Choices!$B$59,0,$C$1)))-SUMPRODUCT(OFFSET(Z$433,0,0,1,-OFFSET(Choices!$B$59,0,$C$1)),OFFSET(Z$13,0,0,1,-OFFSET(Choices!$B$59,0,$C$1))))/OFFSET(Choices!$B$59,0,$C$1)-(Z$434-Z$433)/Z$11,((Z$434-Z$433)/Z$11-(Y$434-Y$433)/Y$11)/Z$1),0))*AA$11 +AA$433</f>
        <v>3.2433937114064344</v>
      </c>
      <c r="AB434" s="11">
        <f ca="1">((AA$434-AA$433)/AA$11+IF(AB$1&gt;0,AB$1*IF(AB$4=OFFSET(Choices!$B$10,0,$C$1),(SUMPRODUCT(OFFSET(AA$434,0,0,1,-OFFSET(Choices!$B$59,0,$C$1)),OFFSET(AA$13,0,0,1,-OFFSET(Choices!$B$59,0,$C$1)))-SUMPRODUCT(OFFSET(AA$433,0,0,1,-OFFSET(Choices!$B$59,0,$C$1)),OFFSET(AA$13,0,0,1,-OFFSET(Choices!$B$59,0,$C$1))))/OFFSET(Choices!$B$59,0,$C$1)-(AA$434-AA$433)/AA$11,((AA$434-AA$433)/AA$11-(Z$434-Z$433)/Z$11)/AA$1),0))*AB$11 +AB$433</f>
        <v>3.3794706244920509</v>
      </c>
      <c r="AC434" s="11">
        <f ca="1">((AB$434-AB$433)/AB$11+IF(AC$1&gt;0,AC$1*IF(AC$4=OFFSET(Choices!$B$10,0,$C$1),(SUMPRODUCT(OFFSET(AB$434,0,0,1,-OFFSET(Choices!$B$59,0,$C$1)),OFFSET(AB$13,0,0,1,-OFFSET(Choices!$B$59,0,$C$1)))-SUMPRODUCT(OFFSET(AB$433,0,0,1,-OFFSET(Choices!$B$59,0,$C$1)),OFFSET(AB$13,0,0,1,-OFFSET(Choices!$B$59,0,$C$1))))/OFFSET(Choices!$B$59,0,$C$1)-(AB$434-AB$433)/AB$11,((AB$434-AB$433)/AB$11-(AA$434-AA$433)/AA$11)/AB$1),0))*AC$11 +AC$433</f>
        <v>3.5195064340573623</v>
      </c>
    </row>
    <row r="435" spans="1:29" x14ac:dyDescent="0.2">
      <c r="A435" s="31"/>
      <c r="B435" s="4"/>
    </row>
    <row r="436" spans="1:29" x14ac:dyDescent="0.2">
      <c r="A436" s="31" t="s">
        <v>320</v>
      </c>
      <c r="B436" s="4"/>
    </row>
    <row r="437" spans="1:29" x14ac:dyDescent="0.2">
      <c r="A437" s="32" t="s">
        <v>412</v>
      </c>
      <c r="B437" s="4" t="str">
        <f>$B$46</f>
        <v>From Fiscal Forecasts</v>
      </c>
      <c r="F437" s="21">
        <f>'Fiscal Forecasts'!F$197</f>
        <v>3.0000000000000001E-3</v>
      </c>
      <c r="G437" s="21">
        <f>'Fiscal Forecasts'!G$197</f>
        <v>3.0000000000000001E-3</v>
      </c>
      <c r="H437" s="21">
        <f>'Fiscal Forecasts'!H$197</f>
        <v>5.0000000000000001E-3</v>
      </c>
      <c r="I437" s="21">
        <f>'Fiscal Forecasts'!I$197</f>
        <v>6.0000000000000001E-3</v>
      </c>
      <c r="J437" s="21">
        <f>'Fiscal Forecasts'!J$197</f>
        <v>1.4E-2</v>
      </c>
      <c r="K437" s="21">
        <f>'Fiscal Forecasts'!K$197</f>
        <v>3.0000000000000001E-3</v>
      </c>
      <c r="L437" s="21">
        <f>'Fiscal Forecasts'!L$197</f>
        <v>2.1999999999999999E-2</v>
      </c>
      <c r="M437" s="21">
        <f>'Fiscal Forecasts'!M$197</f>
        <v>1.7999999999999999E-2</v>
      </c>
      <c r="N437" s="21">
        <f>'Fiscal Forecasts'!N$197</f>
        <v>2.3E-2</v>
      </c>
      <c r="O437" s="24">
        <f>'Fiscal Forecasts'!O$197</f>
        <v>1.9E-2</v>
      </c>
      <c r="P437" s="24">
        <f>'Fiscal Forecasts'!P$197</f>
        <v>1.9E-2</v>
      </c>
      <c r="Q437" s="24">
        <f>'Fiscal Forecasts'!Q$197</f>
        <v>1.9E-2</v>
      </c>
      <c r="R437" s="24">
        <f>'Fiscal Forecasts'!R$197</f>
        <v>1.9E-2</v>
      </c>
      <c r="S437" s="24">
        <f>'Fiscal Forecasts'!S$197</f>
        <v>1.9E-2</v>
      </c>
      <c r="T437" s="26">
        <f t="shared" ref="T437:AC437" ca="1" si="227">S$437*T$29/S$29</f>
        <v>1.9387482625482629E-2</v>
      </c>
      <c r="U437" s="26">
        <f t="shared" ca="1" si="227"/>
        <v>1.9775232277992282E-2</v>
      </c>
      <c r="V437" s="26">
        <f t="shared" ca="1" si="227"/>
        <v>2.0170736923552125E-2</v>
      </c>
      <c r="W437" s="26">
        <f t="shared" ca="1" si="227"/>
        <v>2.0574151662023168E-2</v>
      </c>
      <c r="X437" s="26">
        <f t="shared" ca="1" si="227"/>
        <v>2.0985634695263631E-2</v>
      </c>
      <c r="Y437" s="26">
        <f t="shared" ca="1" si="227"/>
        <v>2.1405347389168904E-2</v>
      </c>
      <c r="Z437" s="26">
        <f t="shared" ca="1" si="227"/>
        <v>2.1833454336952284E-2</v>
      </c>
      <c r="AA437" s="26">
        <f t="shared" ca="1" si="227"/>
        <v>2.2270123423691328E-2</v>
      </c>
      <c r="AB437" s="26">
        <f t="shared" ca="1" si="227"/>
        <v>2.2715525892165158E-2</v>
      </c>
      <c r="AC437" s="26">
        <f t="shared" ca="1" si="227"/>
        <v>2.316983641000846E-2</v>
      </c>
    </row>
    <row r="438" spans="1:29" x14ac:dyDescent="0.2">
      <c r="A438" s="32" t="s">
        <v>759</v>
      </c>
      <c r="B438" s="4" t="str">
        <f>$B$46</f>
        <v>From Fiscal Forecasts</v>
      </c>
      <c r="F438" s="21">
        <f>'Fiscal Forecasts'!F$389</f>
        <v>17.327999999999999</v>
      </c>
      <c r="G438" s="21">
        <f>'Fiscal Forecasts'!G$389</f>
        <v>20.373999999999999</v>
      </c>
      <c r="H438" s="21">
        <f>'Fiscal Forecasts'!H$389</f>
        <v>26.446000000000002</v>
      </c>
      <c r="I438" s="21">
        <f>'Fiscal Forecasts'!I$389</f>
        <v>26.997</v>
      </c>
      <c r="J438" s="21">
        <f>'Fiscal Forecasts'!J$389</f>
        <v>26.939</v>
      </c>
      <c r="K438" s="21">
        <f>'Fiscal Forecasts'!K$389</f>
        <v>30.648</v>
      </c>
      <c r="L438" s="21">
        <f>'Fiscal Forecasts'!L$389</f>
        <v>29.446000000000002</v>
      </c>
      <c r="M438" s="21">
        <f>'Fiscal Forecasts'!M$389</f>
        <v>29.948</v>
      </c>
      <c r="N438" s="21">
        <f>'Fiscal Forecasts'!N$389</f>
        <v>32.518000000000001</v>
      </c>
      <c r="O438" s="24">
        <f>'Fiscal Forecasts'!O$389</f>
        <v>33.5</v>
      </c>
      <c r="P438" s="24">
        <f>'Fiscal Forecasts'!P$389</f>
        <v>34.654000000000003</v>
      </c>
      <c r="Q438" s="24">
        <f>'Fiscal Forecasts'!Q$389</f>
        <v>35.826000000000001</v>
      </c>
      <c r="R438" s="24">
        <f>'Fiscal Forecasts'!R$389</f>
        <v>37.067999999999998</v>
      </c>
      <c r="S438" s="24">
        <f>'Fiscal Forecasts'!S$389</f>
        <v>38.384</v>
      </c>
      <c r="T438" s="26">
        <f t="shared" ref="T438:AC438" si="228">S$438*T$376/S$376</f>
        <v>40.00153994880047</v>
      </c>
      <c r="U438" s="26">
        <f t="shared" si="228"/>
        <v>41.699622737336185</v>
      </c>
      <c r="V438" s="26">
        <f t="shared" si="228"/>
        <v>43.475953032520721</v>
      </c>
      <c r="W438" s="26">
        <f t="shared" si="228"/>
        <v>45.317849188780229</v>
      </c>
      <c r="X438" s="26">
        <f t="shared" si="228"/>
        <v>47.257350073701097</v>
      </c>
      <c r="Y438" s="26">
        <f t="shared" si="228"/>
        <v>49.206090082014917</v>
      </c>
      <c r="Z438" s="26">
        <f t="shared" si="228"/>
        <v>51.221546837050376</v>
      </c>
      <c r="AA438" s="26">
        <f t="shared" si="228"/>
        <v>53.286347578529892</v>
      </c>
      <c r="AB438" s="26">
        <f t="shared" si="228"/>
        <v>55.40525168725808</v>
      </c>
      <c r="AC438" s="26">
        <f t="shared" si="228"/>
        <v>57.601593424467822</v>
      </c>
    </row>
    <row r="439" spans="1:29" x14ac:dyDescent="0.2">
      <c r="A439" s="32" t="s">
        <v>760</v>
      </c>
      <c r="B439" s="4" t="str">
        <f>$B$46</f>
        <v>From Fiscal Forecasts</v>
      </c>
      <c r="F439" s="21">
        <f>'Fiscal Forecasts'!F$390</f>
        <v>6.8000000000000005E-2</v>
      </c>
      <c r="G439" s="21">
        <f>'Fiscal Forecasts'!G$390</f>
        <v>9.7000000000000003E-2</v>
      </c>
      <c r="H439" s="21">
        <f>'Fiscal Forecasts'!H$390</f>
        <v>8.6999999999999994E-2</v>
      </c>
      <c r="I439" s="21">
        <f>'Fiscal Forecasts'!I$390</f>
        <v>8.7999999999999995E-2</v>
      </c>
      <c r="J439" s="21">
        <f>'Fiscal Forecasts'!J$390</f>
        <v>10.57</v>
      </c>
      <c r="K439" s="21">
        <f>'Fiscal Forecasts'!K$390</f>
        <v>8.8770000000000007</v>
      </c>
      <c r="L439" s="21">
        <f>'Fiscal Forecasts'!L$390</f>
        <v>6.8689999999999998</v>
      </c>
      <c r="M439" s="21">
        <f>'Fiscal Forecasts'!M$390</f>
        <v>4.7469999999999999</v>
      </c>
      <c r="N439" s="21">
        <f>'Fiscal Forecasts'!N$390</f>
        <v>2.9649999999999999</v>
      </c>
      <c r="O439" s="24">
        <f>'Fiscal Forecasts'!O$390</f>
        <v>1.353</v>
      </c>
      <c r="P439" s="24">
        <f>'Fiscal Forecasts'!P$390</f>
        <v>0.38200000000000001</v>
      </c>
      <c r="Q439" s="24">
        <f>'Fiscal Forecasts'!Q$390</f>
        <v>0.19600000000000001</v>
      </c>
      <c r="R439" s="24">
        <f>'Fiscal Forecasts'!R$390</f>
        <v>0.17499999999999999</v>
      </c>
      <c r="S439" s="24">
        <f>'Fiscal Forecasts'!S$390</f>
        <v>0.17499999999999999</v>
      </c>
      <c r="T439" s="26">
        <f t="shared" ref="T439:AC439" ca="1" si="229">S$439*T$29/S$29</f>
        <v>0.17856891891891893</v>
      </c>
      <c r="U439" s="26">
        <f t="shared" ca="1" si="229"/>
        <v>0.18214029729729733</v>
      </c>
      <c r="V439" s="26">
        <f t="shared" ca="1" si="229"/>
        <v>0.18578310324324326</v>
      </c>
      <c r="W439" s="26">
        <f t="shared" ca="1" si="229"/>
        <v>0.18949876530810814</v>
      </c>
      <c r="X439" s="26">
        <f t="shared" ca="1" si="229"/>
        <v>0.19328874061427032</v>
      </c>
      <c r="Y439" s="26">
        <f t="shared" ca="1" si="229"/>
        <v>0.19715451542655574</v>
      </c>
      <c r="Z439" s="26">
        <f t="shared" ca="1" si="229"/>
        <v>0.20109760573508687</v>
      </c>
      <c r="AA439" s="26">
        <f t="shared" ca="1" si="229"/>
        <v>0.20511955784978858</v>
      </c>
      <c r="AB439" s="26">
        <f t="shared" ca="1" si="229"/>
        <v>0.20922194900678437</v>
      </c>
      <c r="AC439" s="26">
        <f t="shared" ca="1" si="229"/>
        <v>0.21340638798692005</v>
      </c>
    </row>
    <row r="440" spans="1:29" x14ac:dyDescent="0.2">
      <c r="A440" s="32" t="s">
        <v>757</v>
      </c>
      <c r="B440" s="4" t="str">
        <f>$B$46</f>
        <v>From Fiscal Forecasts</v>
      </c>
      <c r="F440" s="21">
        <f>'Fiscal Forecasts'!F$391-F$437</f>
        <v>1.9E-2</v>
      </c>
      <c r="G440" s="21">
        <f>'Fiscal Forecasts'!G$391-G$437</f>
        <v>9.9999999999999985E-3</v>
      </c>
      <c r="H440" s="21">
        <f>'Fiscal Forecasts'!H$391-H$437</f>
        <v>2.9000000000000001E-2</v>
      </c>
      <c r="I440" s="21">
        <f>'Fiscal Forecasts'!I$391-I$437</f>
        <v>0.04</v>
      </c>
      <c r="J440" s="21">
        <f>'Fiscal Forecasts'!J$391-J$437</f>
        <v>1.7909999999999997</v>
      </c>
      <c r="K440" s="21">
        <f>'Fiscal Forecasts'!K$391-K$437</f>
        <v>1.6579999999999999</v>
      </c>
      <c r="L440" s="21">
        <f>'Fiscal Forecasts'!L$391-L$437</f>
        <v>1.375</v>
      </c>
      <c r="M440" s="21">
        <f>'Fiscal Forecasts'!M$391-M$437</f>
        <v>1.1119999999999999</v>
      </c>
      <c r="N440" s="21">
        <f>'Fiscal Forecasts'!N$391-N$437</f>
        <v>0.92499999999999993</v>
      </c>
      <c r="O440" s="24">
        <f>'Fiscal Forecasts'!O$391-O$437</f>
        <v>0.34499999999999997</v>
      </c>
      <c r="P440" s="24">
        <f>'Fiscal Forecasts'!P$391-P$437</f>
        <v>0.27999999999999997</v>
      </c>
      <c r="Q440" s="24">
        <f>'Fiscal Forecasts'!Q$391-Q$437</f>
        <v>0.111</v>
      </c>
      <c r="R440" s="24">
        <f>'Fiscal Forecasts'!R$391-R$437</f>
        <v>6.3E-2</v>
      </c>
      <c r="S440" s="24">
        <f>'Fiscal Forecasts'!S$391-S$437</f>
        <v>6.6000000000000003E-2</v>
      </c>
      <c r="T440" s="26">
        <f t="shared" ref="T440:AC440" ca="1" si="230">S$440*T$29/S$29</f>
        <v>6.7345992277992289E-2</v>
      </c>
      <c r="U440" s="26">
        <f t="shared" ca="1" si="230"/>
        <v>6.8692912123552136E-2</v>
      </c>
      <c r="V440" s="26">
        <f t="shared" ca="1" si="230"/>
        <v>7.0066770366023171E-2</v>
      </c>
      <c r="W440" s="26">
        <f t="shared" ca="1" si="230"/>
        <v>7.1468105773343629E-2</v>
      </c>
      <c r="X440" s="26">
        <f t="shared" ca="1" si="230"/>
        <v>7.2897467888810505E-2</v>
      </c>
      <c r="Y440" s="26">
        <f t="shared" ca="1" si="230"/>
        <v>7.4355417246586716E-2</v>
      </c>
      <c r="Z440" s="26">
        <f t="shared" ca="1" si="230"/>
        <v>7.5842525591518453E-2</v>
      </c>
      <c r="AA440" s="26">
        <f t="shared" ca="1" si="230"/>
        <v>7.7359376103348823E-2</v>
      </c>
      <c r="AB440" s="26">
        <f t="shared" ca="1" si="230"/>
        <v>7.8906563625415801E-2</v>
      </c>
      <c r="AC440" s="26">
        <f t="shared" ca="1" si="230"/>
        <v>8.0484694897924106E-2</v>
      </c>
    </row>
    <row r="441" spans="1:29" x14ac:dyDescent="0.2">
      <c r="A441" s="31" t="s">
        <v>758</v>
      </c>
      <c r="B441" s="4"/>
      <c r="F441" s="56">
        <f>SUM(F$437:F$440)</f>
        <v>17.417999999999999</v>
      </c>
      <c r="G441" s="56">
        <f t="shared" ref="G441:AC441" si="231">SUM(G$437:G$440)</f>
        <v>20.484000000000002</v>
      </c>
      <c r="H441" s="56">
        <f t="shared" si="231"/>
        <v>26.567</v>
      </c>
      <c r="I441" s="56">
        <f t="shared" si="231"/>
        <v>27.131</v>
      </c>
      <c r="J441" s="56">
        <f t="shared" si="231"/>
        <v>39.313999999999993</v>
      </c>
      <c r="K441" s="56">
        <f t="shared" si="231"/>
        <v>41.186</v>
      </c>
      <c r="L441" s="56">
        <f t="shared" si="231"/>
        <v>37.712000000000003</v>
      </c>
      <c r="M441" s="56">
        <f t="shared" si="231"/>
        <v>35.825000000000003</v>
      </c>
      <c r="N441" s="56">
        <f t="shared" si="231"/>
        <v>36.430999999999997</v>
      </c>
      <c r="O441" s="57">
        <f t="shared" si="231"/>
        <v>35.216999999999999</v>
      </c>
      <c r="P441" s="57">
        <f t="shared" si="231"/>
        <v>35.335000000000001</v>
      </c>
      <c r="Q441" s="57">
        <f t="shared" si="231"/>
        <v>36.151999999999994</v>
      </c>
      <c r="R441" s="57">
        <f t="shared" si="231"/>
        <v>37.324999999999996</v>
      </c>
      <c r="S441" s="57">
        <f t="shared" si="231"/>
        <v>38.643999999999998</v>
      </c>
      <c r="T441" s="58">
        <f t="shared" ca="1" si="231"/>
        <v>40.266842342622866</v>
      </c>
      <c r="U441" s="58">
        <f t="shared" ca="1" si="231"/>
        <v>41.970231179035025</v>
      </c>
      <c r="V441" s="58">
        <f t="shared" ca="1" si="231"/>
        <v>43.751973643053546</v>
      </c>
      <c r="W441" s="58">
        <f t="shared" ca="1" si="231"/>
        <v>45.599390211523705</v>
      </c>
      <c r="X441" s="58">
        <f t="shared" ca="1" si="231"/>
        <v>47.544521916899441</v>
      </c>
      <c r="Y441" s="58">
        <f t="shared" ca="1" si="231"/>
        <v>49.499005362077227</v>
      </c>
      <c r="Z441" s="58">
        <f t="shared" ca="1" si="231"/>
        <v>51.52032042271393</v>
      </c>
      <c r="AA441" s="58">
        <f t="shared" ca="1" si="231"/>
        <v>53.591096635906716</v>
      </c>
      <c r="AB441" s="58">
        <f t="shared" ca="1" si="231"/>
        <v>55.716095725782445</v>
      </c>
      <c r="AC441" s="58">
        <f t="shared" ca="1" si="231"/>
        <v>57.918654343762675</v>
      </c>
    </row>
    <row r="442" spans="1:29" x14ac:dyDescent="0.2">
      <c r="A442" s="31"/>
      <c r="B442" s="4"/>
      <c r="F442" s="23"/>
      <c r="G442" s="23"/>
      <c r="H442" s="23"/>
      <c r="I442" s="23"/>
      <c r="J442" s="23"/>
      <c r="K442" s="23"/>
      <c r="L442" s="23"/>
      <c r="M442" s="23"/>
      <c r="N442" s="23"/>
      <c r="O442" s="25"/>
      <c r="P442" s="25"/>
      <c r="Q442" s="25"/>
      <c r="R442" s="25"/>
      <c r="S442" s="25"/>
      <c r="T442" s="11"/>
      <c r="U442" s="11"/>
      <c r="V442" s="11"/>
      <c r="W442" s="11"/>
      <c r="X442" s="11"/>
      <c r="Y442" s="11"/>
      <c r="Z442" s="11"/>
      <c r="AA442" s="11"/>
      <c r="AB442" s="11"/>
      <c r="AC442" s="11"/>
    </row>
    <row r="443" spans="1:29" x14ac:dyDescent="0.2">
      <c r="A443" s="31" t="s">
        <v>761</v>
      </c>
      <c r="B443" s="4"/>
      <c r="F443" s="23"/>
      <c r="G443" s="23"/>
      <c r="H443" s="23"/>
      <c r="I443" s="23"/>
      <c r="J443" s="23"/>
      <c r="K443" s="23"/>
      <c r="L443" s="23"/>
      <c r="M443" s="23"/>
      <c r="N443" s="23"/>
      <c r="O443" s="25"/>
      <c r="P443" s="25"/>
      <c r="Q443" s="25"/>
      <c r="R443" s="25"/>
      <c r="S443" s="25"/>
      <c r="T443" s="11"/>
      <c r="U443" s="11"/>
      <c r="V443" s="11"/>
      <c r="W443" s="11"/>
      <c r="X443" s="11"/>
      <c r="Y443" s="11"/>
      <c r="Z443" s="11"/>
      <c r="AA443" s="11"/>
      <c r="AB443" s="11"/>
      <c r="AC443" s="11"/>
    </row>
    <row r="444" spans="1:29" x14ac:dyDescent="0.2">
      <c r="A444" s="32" t="s">
        <v>412</v>
      </c>
      <c r="B444" s="4" t="str">
        <f>$B$46</f>
        <v>From Fiscal Forecasts</v>
      </c>
      <c r="F444" s="21">
        <f>'Fiscal Forecasts'!F$198</f>
        <v>7.1589999999999998</v>
      </c>
      <c r="G444" s="21">
        <f>'Fiscal Forecasts'!G$198</f>
        <v>8.2550000000000008</v>
      </c>
      <c r="H444" s="21">
        <f>'Fiscal Forecasts'!H$198</f>
        <v>8.9909999999999997</v>
      </c>
      <c r="I444" s="21">
        <f>'Fiscal Forecasts'!I$198</f>
        <v>9.9380000000000006</v>
      </c>
      <c r="J444" s="21">
        <f>'Fiscal Forecasts'!J$198</f>
        <v>10.154</v>
      </c>
      <c r="K444" s="21">
        <f>'Fiscal Forecasts'!K$198</f>
        <v>13.548</v>
      </c>
      <c r="L444" s="21">
        <f>'Fiscal Forecasts'!L$198</f>
        <v>11.914999999999999</v>
      </c>
      <c r="M444" s="21">
        <f>'Fiscal Forecasts'!M$198</f>
        <v>10.888999999999999</v>
      </c>
      <c r="N444" s="21">
        <f>'Fiscal Forecasts'!N$198</f>
        <v>10.843999999999999</v>
      </c>
      <c r="O444" s="24">
        <f>'Fiscal Forecasts'!O$198</f>
        <v>10.750999999999999</v>
      </c>
      <c r="P444" s="24">
        <f>'Fiscal Forecasts'!P$198</f>
        <v>10.244999999999999</v>
      </c>
      <c r="Q444" s="24">
        <f>'Fiscal Forecasts'!Q$198</f>
        <v>9.7370000000000001</v>
      </c>
      <c r="R444" s="24">
        <f>'Fiscal Forecasts'!R$198</f>
        <v>9.2349999999999994</v>
      </c>
      <c r="S444" s="24">
        <f>'Fiscal Forecasts'!S$198</f>
        <v>8.7420000000000009</v>
      </c>
      <c r="T444" s="26">
        <f t="shared" ref="T444:AC444" si="232">S$444*T$450/S$450</f>
        <v>8.4679377285551318</v>
      </c>
      <c r="U444" s="26">
        <f t="shared" si="232"/>
        <v>8.1810244790953632</v>
      </c>
      <c r="V444" s="26">
        <f t="shared" si="232"/>
        <v>7.8893296030274209</v>
      </c>
      <c r="W444" s="26">
        <f t="shared" si="232"/>
        <v>7.6034420016749547</v>
      </c>
      <c r="X444" s="26">
        <f t="shared" si="232"/>
        <v>7.3248768008244127</v>
      </c>
      <c r="Y444" s="26">
        <f t="shared" si="232"/>
        <v>7.0569089908882541</v>
      </c>
      <c r="Z444" s="26">
        <f t="shared" si="232"/>
        <v>6.7962593366586477</v>
      </c>
      <c r="AA444" s="26">
        <f t="shared" si="232"/>
        <v>6.5399018313580779</v>
      </c>
      <c r="AB444" s="26">
        <f t="shared" si="232"/>
        <v>6.2774965572978223</v>
      </c>
      <c r="AC444" s="26">
        <f t="shared" si="232"/>
        <v>6.0108076238992716</v>
      </c>
    </row>
    <row r="445" spans="1:29" x14ac:dyDescent="0.2">
      <c r="A445" s="32" t="s">
        <v>762</v>
      </c>
      <c r="B445" s="4" t="str">
        <f>$B$46</f>
        <v>From Fiscal Forecasts</v>
      </c>
      <c r="F445" s="21">
        <f>'Fiscal Forecasts'!F$131-F$444</f>
        <v>1.9999999999997797E-3</v>
      </c>
      <c r="G445" s="21">
        <f>'Fiscal Forecasts'!G$131-G$444</f>
        <v>1.9999999999988916E-3</v>
      </c>
      <c r="H445" s="21">
        <f>'Fiscal Forecasts'!H$131-H$444</f>
        <v>2.0000000000006679E-3</v>
      </c>
      <c r="I445" s="21">
        <f>'Fiscal Forecasts'!I$131-I$444</f>
        <v>1.9999999999988916E-3</v>
      </c>
      <c r="J445" s="21">
        <f>'Fiscal Forecasts'!J$131-J$444</f>
        <v>2.0000000000006679E-3</v>
      </c>
      <c r="K445" s="21">
        <f>'Fiscal Forecasts'!K$131-K$444</f>
        <v>-9.0000000000003411E-3</v>
      </c>
      <c r="L445" s="21">
        <f>'Fiscal Forecasts'!L$131-L$444</f>
        <v>-1.1999999999998678E-2</v>
      </c>
      <c r="M445" s="21">
        <f>'Fiscal Forecasts'!M$131-M$444</f>
        <v>-3.9999999999995595E-3</v>
      </c>
      <c r="N445" s="21">
        <f>'Fiscal Forecasts'!N$131-N$444</f>
        <v>-9.9999999999997868E-3</v>
      </c>
      <c r="O445" s="24">
        <f>'Fiscal Forecasts'!O$131-O$444</f>
        <v>-9.9999999999997868E-3</v>
      </c>
      <c r="P445" s="24">
        <f>'Fiscal Forecasts'!P$131-P$444</f>
        <v>-9.9999999999997868E-3</v>
      </c>
      <c r="Q445" s="24">
        <f>'Fiscal Forecasts'!Q$131-Q$444</f>
        <v>-9.9999999999997868E-3</v>
      </c>
      <c r="R445" s="24">
        <f>'Fiscal Forecasts'!R$131-R$444</f>
        <v>-9.9999999999997868E-3</v>
      </c>
      <c r="S445" s="24">
        <f>'Fiscal Forecasts'!S$131-S$444</f>
        <v>-1.0000000000001563E-2</v>
      </c>
      <c r="T445" s="26">
        <f ca="1">IF(T$4=OFFSET(Choices!$B$10,0,$C$1),AVERAGE(Q$445/Q$444,R$445/R$444,S$445/S$444),S$445/S$444)*T$444</f>
        <v>-9.1841852652188773E-3</v>
      </c>
      <c r="U445" s="26">
        <f ca="1">IF(U$4=OFFSET(Choices!$B$10,0,$C$1),AVERAGE(R$445/R$444,S$445/S$444,T$445/T$444),T$445/T$444)*U$444</f>
        <v>-8.8730038982139381E-3</v>
      </c>
      <c r="V445" s="26">
        <f ca="1">IF(V$4=OFFSET(Choices!$B$10,0,$C$1),AVERAGE(S$445/S$444,T$445/T$444,U$445/U$444),U$445/U$444)*V$444</f>
        <v>-8.5566364580414479E-3</v>
      </c>
      <c r="W445" s="26">
        <f ca="1">IF(W$4=OFFSET(Choices!$B$10,0,$C$1),AVERAGE(T$445/T$444,U$445/U$444,V$445/V$444),V$445/V$444)*W$444</f>
        <v>-8.2465674920172843E-3</v>
      </c>
      <c r="X445" s="26">
        <f ca="1">IF(X$4=OFFSET(Choices!$B$10,0,$C$1),AVERAGE(U$445/U$444,V$445/V$444,W$445/W$444),W$445/W$444)*X$444</f>
        <v>-7.9444402805207946E-3</v>
      </c>
      <c r="Y445" s="26">
        <f ca="1">IF(Y$4=OFFSET(Choices!$B$10,0,$C$1),AVERAGE(V$445/V$444,W$445/W$444,X$445/X$444),X$445/X$444)*Y$444</f>
        <v>-7.6538068240099419E-3</v>
      </c>
      <c r="Z445" s="26">
        <f ca="1">IF(Z$4=OFFSET(Choices!$B$10,0,$C$1),AVERAGE(W$445/W$444,X$445/X$444,Y$445/Y$444),Y$445/Y$444)*Z$444</f>
        <v>-7.3711105181918776E-3</v>
      </c>
      <c r="AA445" s="26">
        <f ca="1">IF(AA$4=OFFSET(Choices!$B$10,0,$C$1),AVERAGE(X$445/X$444,Y$445/Y$444,Z$445/Z$444),Z$445/Z$444)*AA$444</f>
        <v>-7.0930694061428056E-3</v>
      </c>
      <c r="AB445" s="26">
        <f ca="1">IF(AB$4=OFFSET(Choices!$B$10,0,$C$1),AVERAGE(Y$445/Y$444,Z$445/Z$444,AA$445/AA$444),AA$445/AA$444)*AB$444</f>
        <v>-6.8084689840809945E-3</v>
      </c>
      <c r="AC445" s="26">
        <f ca="1">IF(AC$4=OFFSET(Choices!$B$10,0,$C$1),AVERAGE(Z$445/Z$444,AA$445/AA$444,AB$445/AB$444),AB$445/AB$444)*AC$444</f>
        <v>-6.5192225759199574E-3</v>
      </c>
    </row>
    <row r="446" spans="1:29" x14ac:dyDescent="0.2">
      <c r="A446" s="31" t="s">
        <v>763</v>
      </c>
      <c r="B446" s="4"/>
      <c r="F446" s="56">
        <f>SUM(F$444:F$445)</f>
        <v>7.1609999999999996</v>
      </c>
      <c r="G446" s="56">
        <f t="shared" ref="G446:AC446" si="233">SUM(G$444:G$445)</f>
        <v>8.2569999999999997</v>
      </c>
      <c r="H446" s="56">
        <f t="shared" si="233"/>
        <v>8.9930000000000003</v>
      </c>
      <c r="I446" s="56">
        <f t="shared" si="233"/>
        <v>9.94</v>
      </c>
      <c r="J446" s="56">
        <f t="shared" si="233"/>
        <v>10.156000000000001</v>
      </c>
      <c r="K446" s="56">
        <f t="shared" si="233"/>
        <v>13.539</v>
      </c>
      <c r="L446" s="56">
        <f t="shared" si="233"/>
        <v>11.903</v>
      </c>
      <c r="M446" s="56">
        <f t="shared" si="233"/>
        <v>10.885</v>
      </c>
      <c r="N446" s="56">
        <f t="shared" si="233"/>
        <v>10.834</v>
      </c>
      <c r="O446" s="57">
        <f t="shared" si="233"/>
        <v>10.741</v>
      </c>
      <c r="P446" s="57">
        <f t="shared" si="233"/>
        <v>10.234999999999999</v>
      </c>
      <c r="Q446" s="57">
        <f t="shared" si="233"/>
        <v>9.7270000000000003</v>
      </c>
      <c r="R446" s="57">
        <f t="shared" si="233"/>
        <v>9.2249999999999996</v>
      </c>
      <c r="S446" s="57">
        <f t="shared" si="233"/>
        <v>8.7319999999999993</v>
      </c>
      <c r="T446" s="58">
        <f t="shared" ca="1" si="233"/>
        <v>8.4587535432899124</v>
      </c>
      <c r="U446" s="58">
        <f t="shared" ca="1" si="233"/>
        <v>8.1721514751971487</v>
      </c>
      <c r="V446" s="58">
        <f t="shared" ca="1" si="233"/>
        <v>7.8807729665693795</v>
      </c>
      <c r="W446" s="58">
        <f t="shared" ca="1" si="233"/>
        <v>7.5951954341829371</v>
      </c>
      <c r="X446" s="58">
        <f t="shared" ca="1" si="233"/>
        <v>7.3169323605438921</v>
      </c>
      <c r="Y446" s="58">
        <f t="shared" ca="1" si="233"/>
        <v>7.0492551840642443</v>
      </c>
      <c r="Z446" s="58">
        <f t="shared" ca="1" si="233"/>
        <v>6.7888882261404557</v>
      </c>
      <c r="AA446" s="58">
        <f t="shared" ca="1" si="233"/>
        <v>6.5328087619519355</v>
      </c>
      <c r="AB446" s="58">
        <f t="shared" ca="1" si="233"/>
        <v>6.270688088313741</v>
      </c>
      <c r="AC446" s="58">
        <f t="shared" ca="1" si="233"/>
        <v>6.0042884013233513</v>
      </c>
    </row>
    <row r="447" spans="1:29" x14ac:dyDescent="0.2">
      <c r="A447" s="31" t="s">
        <v>670</v>
      </c>
      <c r="B447" s="4"/>
      <c r="F447" s="23"/>
      <c r="G447" s="23"/>
      <c r="H447" s="23"/>
      <c r="I447" s="23"/>
      <c r="J447" s="23"/>
      <c r="K447" s="23"/>
      <c r="L447" s="23"/>
      <c r="M447" s="23"/>
      <c r="N447" s="23"/>
      <c r="O447" s="23"/>
      <c r="P447" s="23"/>
      <c r="Q447" s="23"/>
      <c r="R447" s="23"/>
      <c r="S447" s="23"/>
      <c r="T447" s="23"/>
      <c r="U447" s="23"/>
      <c r="V447" s="23"/>
      <c r="W447" s="23"/>
      <c r="X447" s="23"/>
      <c r="Y447" s="23"/>
      <c r="Z447" s="23"/>
      <c r="AA447" s="23"/>
      <c r="AB447" s="23"/>
      <c r="AC447" s="23"/>
    </row>
    <row r="448" spans="1:29" x14ac:dyDescent="0.2">
      <c r="A448" s="3" t="s">
        <v>764</v>
      </c>
      <c r="B448" s="4" t="str">
        <f>$B$46</f>
        <v>From Fiscal Forecasts</v>
      </c>
      <c r="F448" s="21">
        <f>'Fiscal Forecasts'!F$404</f>
        <v>11.167000000000002</v>
      </c>
      <c r="G448" s="21">
        <f>'Fiscal Forecasts'!G$404</f>
        <v>11.831000000000001</v>
      </c>
      <c r="H448" s="21">
        <f>'Fiscal Forecasts'!H$404</f>
        <v>11.792000000000002</v>
      </c>
      <c r="I448" s="21">
        <f>'Fiscal Forecasts'!I$404</f>
        <v>12.881000000000002</v>
      </c>
      <c r="J448" s="21">
        <f>'Fiscal Forecasts'!J$404</f>
        <v>13.311000000000002</v>
      </c>
      <c r="K448" s="21">
        <f>'Fiscal Forecasts'!K$404</f>
        <v>16.557000000000002</v>
      </c>
      <c r="L448" s="21">
        <f>'Fiscal Forecasts'!L$404</f>
        <v>15.290000000000003</v>
      </c>
      <c r="M448" s="21">
        <f>'Fiscal Forecasts'!M$404</f>
        <v>14.560000000000002</v>
      </c>
      <c r="N448" s="21">
        <f>'Fiscal Forecasts'!N$404</f>
        <v>14.932000000000002</v>
      </c>
      <c r="O448" s="24">
        <f>'Fiscal Forecasts'!O$404</f>
        <v>14.723000000000003</v>
      </c>
      <c r="P448" s="24">
        <f>'Fiscal Forecasts'!P$404</f>
        <v>14.242000000000003</v>
      </c>
      <c r="Q448" s="24">
        <f>'Fiscal Forecasts'!Q$404</f>
        <v>13.757000000000003</v>
      </c>
      <c r="R448" s="24">
        <f>'Fiscal Forecasts'!R$404</f>
        <v>13.275000000000004</v>
      </c>
      <c r="S448" s="24">
        <f>'Fiscal Forecasts'!S$404</f>
        <v>12.799000000000003</v>
      </c>
      <c r="T448" s="26">
        <f>S$448*Tracks!T$43/Tracks!S$43</f>
        <v>12.47319993695327</v>
      </c>
      <c r="U448" s="26">
        <f>T$448*Tracks!U$43/Tracks!T$43</f>
        <v>12.123191819686346</v>
      </c>
      <c r="V448" s="26">
        <f>U$448*Tracks!V$43/Tracks!U$43</f>
        <v>11.757044999605961</v>
      </c>
      <c r="W448" s="26">
        <f>V$448*Tracks!W$43/Tracks!V$43</f>
        <v>11.38787217274805</v>
      </c>
      <c r="X448" s="26">
        <f>W$448*Tracks!X$43/Tracks!W$43</f>
        <v>11.014664670186777</v>
      </c>
      <c r="Y448" s="26">
        <f>X$448*Tracks!Y$43/Tracks!X$43</f>
        <v>10.644483174403028</v>
      </c>
      <c r="Z448" s="26">
        <f>Y$448*Tracks!Z$43/Tracks!Y$43</f>
        <v>10.275310347545117</v>
      </c>
      <c r="AA448" s="26">
        <f>Z$448*Tracks!AA$43/Tracks!Z$43</f>
        <v>9.904120182835527</v>
      </c>
      <c r="AB448" s="26">
        <f>AA$448*Tracks!AB$43/Tracks!AA$43</f>
        <v>9.5218346599416801</v>
      </c>
      <c r="AC448" s="26">
        <f>AB$448*Tracks!AC$43/Tracks!AB$43</f>
        <v>9.1314797856411065</v>
      </c>
    </row>
    <row r="449" spans="1:29" x14ac:dyDescent="0.2">
      <c r="A449" s="3" t="s">
        <v>765</v>
      </c>
      <c r="B449" s="4" t="str">
        <f>$B$46</f>
        <v>From Fiscal Forecasts</v>
      </c>
      <c r="F449" s="21">
        <f>'Fiscal Forecasts'!F$407</f>
        <v>4.0069999999999997</v>
      </c>
      <c r="G449" s="21">
        <f>'Fiscal Forecasts'!G$407</f>
        <v>3.5739999999999994</v>
      </c>
      <c r="H449" s="21">
        <f>'Fiscal Forecasts'!H$407</f>
        <v>2.8039999999999998</v>
      </c>
      <c r="I449" s="21">
        <f>'Fiscal Forecasts'!I$407</f>
        <v>2.9449999999999998</v>
      </c>
      <c r="J449" s="21">
        <f>'Fiscal Forecasts'!J$407</f>
        <v>3.1589999999999998</v>
      </c>
      <c r="K449" s="21">
        <f>'Fiscal Forecasts'!K$407</f>
        <v>3.0179999999999998</v>
      </c>
      <c r="L449" s="21">
        <f>'Fiscal Forecasts'!L$407</f>
        <v>3.3819999999999997</v>
      </c>
      <c r="M449" s="21">
        <f>'Fiscal Forecasts'!M$407</f>
        <v>3.6739999999999995</v>
      </c>
      <c r="N449" s="21">
        <f>'Fiscal Forecasts'!N$407</f>
        <v>4.0869999999999997</v>
      </c>
      <c r="O449" s="24">
        <f>'Fiscal Forecasts'!O$407</f>
        <v>3.972</v>
      </c>
      <c r="P449" s="24">
        <f>'Fiscal Forecasts'!P$407</f>
        <v>3.9969999999999994</v>
      </c>
      <c r="Q449" s="24">
        <f>'Fiscal Forecasts'!Q$407</f>
        <v>4.0199999999999996</v>
      </c>
      <c r="R449" s="24">
        <f>'Fiscal Forecasts'!R$407</f>
        <v>4.04</v>
      </c>
      <c r="S449" s="24">
        <f>'Fiscal Forecasts'!S$407</f>
        <v>4.0569999999999995</v>
      </c>
      <c r="T449" s="26">
        <f>S$449*Tracks!T$42/Tracks!S$42</f>
        <v>4.0052622083981335</v>
      </c>
      <c r="U449" s="26">
        <f>T$449*Tracks!U$42/Tracks!T$42</f>
        <v>3.9421673405909798</v>
      </c>
      <c r="V449" s="26">
        <f>U$449*Tracks!V$42/Tracks!U$42</f>
        <v>3.8677153965785376</v>
      </c>
      <c r="W449" s="26">
        <f>V$449*Tracks!W$42/Tracks!V$42</f>
        <v>3.7844301710730943</v>
      </c>
      <c r="X449" s="26">
        <f>W$449*Tracks!X$42/Tracks!W$42</f>
        <v>3.6897878693623629</v>
      </c>
      <c r="Y449" s="26">
        <f>X$449*Tracks!Y$42/Tracks!X$42</f>
        <v>3.5875741835147736</v>
      </c>
      <c r="Z449" s="26">
        <f>Y$449*Tracks!Z$42/Tracks!Y$42</f>
        <v>3.4790510108864687</v>
      </c>
      <c r="AA449" s="26">
        <f>Z$449*Tracks!AA$42/Tracks!Z$42</f>
        <v>3.3642183514774482</v>
      </c>
      <c r="AB449" s="26">
        <f>AA$449*Tracks!AB$42/Tracks!AA$42</f>
        <v>3.2443381026438565</v>
      </c>
      <c r="AC449" s="26">
        <f>AB$449*Tracks!AC$42/Tracks!AB$42</f>
        <v>3.120672161741834</v>
      </c>
    </row>
    <row r="450" spans="1:29" x14ac:dyDescent="0.2">
      <c r="A450" s="3" t="s">
        <v>766</v>
      </c>
      <c r="B450" s="4"/>
      <c r="F450" s="56">
        <f>F$448-F$449</f>
        <v>7.1600000000000019</v>
      </c>
      <c r="G450" s="56">
        <f t="shared" ref="G450:AC450" si="234">G$448-G$449</f>
        <v>8.2570000000000014</v>
      </c>
      <c r="H450" s="56">
        <f t="shared" si="234"/>
        <v>8.9880000000000013</v>
      </c>
      <c r="I450" s="56">
        <f t="shared" si="234"/>
        <v>9.9360000000000017</v>
      </c>
      <c r="J450" s="56">
        <f t="shared" si="234"/>
        <v>10.152000000000001</v>
      </c>
      <c r="K450" s="56">
        <f t="shared" si="234"/>
        <v>13.539000000000001</v>
      </c>
      <c r="L450" s="56">
        <f t="shared" si="234"/>
        <v>11.908000000000003</v>
      </c>
      <c r="M450" s="56">
        <f t="shared" si="234"/>
        <v>10.886000000000003</v>
      </c>
      <c r="N450" s="56">
        <f t="shared" si="234"/>
        <v>10.845000000000002</v>
      </c>
      <c r="O450" s="57">
        <f t="shared" si="234"/>
        <v>10.751000000000003</v>
      </c>
      <c r="P450" s="57">
        <f t="shared" si="234"/>
        <v>10.245000000000003</v>
      </c>
      <c r="Q450" s="57">
        <f t="shared" si="234"/>
        <v>9.7370000000000037</v>
      </c>
      <c r="R450" s="57">
        <f t="shared" si="234"/>
        <v>9.235000000000003</v>
      </c>
      <c r="S450" s="57">
        <f t="shared" si="234"/>
        <v>8.7420000000000044</v>
      </c>
      <c r="T450" s="58">
        <f t="shared" si="234"/>
        <v>8.4679377285551354</v>
      </c>
      <c r="U450" s="58">
        <f t="shared" si="234"/>
        <v>8.1810244790953668</v>
      </c>
      <c r="V450" s="58">
        <f t="shared" si="234"/>
        <v>7.8893296030274236</v>
      </c>
      <c r="W450" s="58">
        <f t="shared" si="234"/>
        <v>7.6034420016749564</v>
      </c>
      <c r="X450" s="58">
        <f t="shared" si="234"/>
        <v>7.3248768008244145</v>
      </c>
      <c r="Y450" s="58">
        <f t="shared" si="234"/>
        <v>7.056908990888255</v>
      </c>
      <c r="Z450" s="58">
        <f t="shared" si="234"/>
        <v>6.7962593366586486</v>
      </c>
      <c r="AA450" s="58">
        <f t="shared" si="234"/>
        <v>6.5399018313580788</v>
      </c>
      <c r="AB450" s="58">
        <f t="shared" si="234"/>
        <v>6.2774965572978232</v>
      </c>
      <c r="AC450" s="58">
        <f t="shared" si="234"/>
        <v>6.0108076238992725</v>
      </c>
    </row>
    <row r="451" spans="1:29" x14ac:dyDescent="0.2">
      <c r="B451" s="4"/>
      <c r="F451" s="62"/>
      <c r="G451" s="62"/>
      <c r="H451" s="62"/>
      <c r="I451" s="62"/>
      <c r="J451" s="62"/>
      <c r="K451" s="62"/>
      <c r="L451" s="62"/>
      <c r="M451" s="62"/>
      <c r="N451" s="62"/>
      <c r="O451" s="70"/>
      <c r="P451" s="70"/>
      <c r="Q451" s="70"/>
      <c r="R451" s="70"/>
      <c r="S451" s="70"/>
      <c r="T451" s="63"/>
      <c r="U451" s="63"/>
      <c r="V451" s="63"/>
      <c r="W451" s="63"/>
      <c r="X451" s="63"/>
      <c r="Y451" s="63"/>
      <c r="Z451" s="63"/>
      <c r="AA451" s="63"/>
      <c r="AB451" s="63"/>
      <c r="AC451" s="63"/>
    </row>
    <row r="452" spans="1:29" x14ac:dyDescent="0.2">
      <c r="A452" s="31" t="s">
        <v>767</v>
      </c>
      <c r="B452" s="4" t="str">
        <f>$B$46</f>
        <v>From Fiscal Forecasts</v>
      </c>
      <c r="F452" s="62">
        <f>'Fiscal Forecasts'!F$410</f>
        <v>2.5369999999999999</v>
      </c>
      <c r="G452" s="62">
        <f>'Fiscal Forecasts'!G$410</f>
        <v>2.7629999999999999</v>
      </c>
      <c r="H452" s="62">
        <f>'Fiscal Forecasts'!H$410</f>
        <v>3.081</v>
      </c>
      <c r="I452" s="62">
        <f>'Fiscal Forecasts'!I$410</f>
        <v>3.4239999999999999</v>
      </c>
      <c r="J452" s="62">
        <f>'Fiscal Forecasts'!J$410</f>
        <v>5.351</v>
      </c>
      <c r="K452" s="62">
        <f>'Fiscal Forecasts'!K$410</f>
        <v>4.9649999999999999</v>
      </c>
      <c r="L452" s="62">
        <f>'Fiscal Forecasts'!L$410</f>
        <v>4.492</v>
      </c>
      <c r="M452" s="62">
        <f>'Fiscal Forecasts'!M$410</f>
        <v>4.2080000000000002</v>
      </c>
      <c r="N452" s="62">
        <f>'Fiscal Forecasts'!N$410</f>
        <v>4.8550000000000004</v>
      </c>
      <c r="O452" s="70">
        <f>'Fiscal Forecasts'!O$410</f>
        <v>4.492</v>
      </c>
      <c r="P452" s="70">
        <f>'Fiscal Forecasts'!P$410</f>
        <v>3.9169999999999998</v>
      </c>
      <c r="Q452" s="70">
        <f>'Fiscal Forecasts'!Q$410</f>
        <v>3.6789999999999998</v>
      </c>
      <c r="R452" s="70">
        <f>'Fiscal Forecasts'!R$410</f>
        <v>3.5630000000000002</v>
      </c>
      <c r="S452" s="70">
        <f>'Fiscal Forecasts'!S$410</f>
        <v>3.387</v>
      </c>
      <c r="T452" s="11">
        <f ca="1">(S$452/S$11+IF(T$1&gt;0,T$1*IF(T$4=OFFSET(Choices!$B$10,0,$C$1),SUMPRODUCT(OFFSET(S$452,0,0,1,-OFFSET(Choices!$B$59,0,$C$1)),OFFSET(S$13,0,0,1,-OFFSET(Choices!$B$59,0,$C$1)))/OFFSET(Choices!$B$59,0,$C$1)-S$452/S$11,(S$452/S$11-R$452/R$11)/S$1),0))*T$11</f>
        <v>3.6477755797400562</v>
      </c>
      <c r="U452" s="11">
        <f ca="1">(T$452/T$11+IF(U$1&gt;0,U$1*IF(U$4=OFFSET(Choices!$B$10,0,$C$1),SUMPRODUCT(OFFSET(T$452,0,0,1,-OFFSET(Choices!$B$59,0,$C$1)),OFFSET(T$13,0,0,1,-OFFSET(Choices!$B$59,0,$C$1)))/OFFSET(Choices!$B$59,0,$C$1)-T$452/T$11,(T$452/T$11-S$452/S$11)/T$1),0))*U$11</f>
        <v>3.9016770704570174</v>
      </c>
      <c r="V452" s="11">
        <f ca="1">(U$452/U$11+IF(V$1&gt;0,V$1*IF(V$4=OFFSET(Choices!$B$10,0,$C$1),SUMPRODUCT(OFFSET(U$452,0,0,1,-OFFSET(Choices!$B$59,0,$C$1)),OFFSET(U$13,0,0,1,-OFFSET(Choices!$B$59,0,$C$1)))/OFFSET(Choices!$B$59,0,$C$1)-U$452/U$11,(U$452/U$11-T$452/T$11)/U$1),0))*V$11</f>
        <v>4.1490740190699809</v>
      </c>
      <c r="W452" s="11">
        <f ca="1">(V$452/V$11+IF(W$1&gt;0,W$1*IF(W$4=OFFSET(Choices!$B$10,0,$C$1),SUMPRODUCT(OFFSET(V$452,0,0,1,-OFFSET(Choices!$B$59,0,$C$1)),OFFSET(V$13,0,0,1,-OFFSET(Choices!$B$59,0,$C$1)))/OFFSET(Choices!$B$59,0,$C$1)-V$452/V$11,(V$452/V$11-U$452/U$11)/V$1),0))*W$11</f>
        <v>4.3842641822015986</v>
      </c>
      <c r="X452" s="11">
        <f ca="1">(W$452/W$11+IF(X$1&gt;0,X$1*IF(X$4=OFFSET(Choices!$B$10,0,$C$1),SUMPRODUCT(OFFSET(W$452,0,0,1,-OFFSET(Choices!$B$59,0,$C$1)),OFFSET(W$13,0,0,1,-OFFSET(Choices!$B$59,0,$C$1)))/OFFSET(Choices!$B$59,0,$C$1)-W$452/W$11,(W$452/W$11-V$452/V$11)/W$1),0))*X$11</f>
        <v>4.6052750631960704</v>
      </c>
      <c r="Y452" s="11">
        <f ca="1">(X$452/X$11+IF(Y$1&gt;0,Y$1*IF(Y$4=OFFSET(Choices!$B$10,0,$C$1),SUMPRODUCT(OFFSET(X$452,0,0,1,-OFFSET(Choices!$B$59,0,$C$1)),OFFSET(X$13,0,0,1,-OFFSET(Choices!$B$59,0,$C$1)))/OFFSET(Choices!$B$59,0,$C$1)-X$452/X$11,(X$452/X$11-W$452/W$11)/X$1),0))*Y$11</f>
        <v>4.8074620954468852</v>
      </c>
      <c r="Z452" s="11">
        <f ca="1">(Y$452/Y$11+IF(Z$1&gt;0,Z$1*IF(Z$4=OFFSET(Choices!$B$10,0,$C$1),SUMPRODUCT(OFFSET(Y$452,0,0,1,-OFFSET(Choices!$B$59,0,$C$1)),OFFSET(Y$13,0,0,1,-OFFSET(Choices!$B$59,0,$C$1)))/OFFSET(Choices!$B$59,0,$C$1)-Y$452/Y$11,(Y$452/Y$11-X$452/X$11)/Y$1),0))*Z$11</f>
        <v>5.0155696706041057</v>
      </c>
      <c r="AA452" s="11">
        <f ca="1">(Z$452/Z$11+IF(AA$1&gt;0,AA$1*IF(AA$4=OFFSET(Choices!$B$10,0,$C$1),SUMPRODUCT(OFFSET(Z$452,0,0,1,-OFFSET(Choices!$B$59,0,$C$1)),OFFSET(Z$13,0,0,1,-OFFSET(Choices!$B$59,0,$C$1)))/OFFSET(Choices!$B$59,0,$C$1)-Z$452/Z$11,(Z$452/Z$11-Y$452/Y$11)/Z$1),0))*AA$11</f>
        <v>5.229744203647976</v>
      </c>
      <c r="AB452" s="11">
        <f ca="1">(AA$452/AA$11+IF(AB$1&gt;0,AB$1*IF(AB$4=OFFSET(Choices!$B$10,0,$C$1),SUMPRODUCT(OFFSET(AA$452,0,0,1,-OFFSET(Choices!$B$59,0,$C$1)),OFFSET(AA$13,0,0,1,-OFFSET(Choices!$B$59,0,$C$1)))/OFFSET(Choices!$B$59,0,$C$1)-AA$452/AA$11,(AA$452/AA$11-Z$452/Z$11)/AA$1),0))*AB$11</f>
        <v>5.4491586536905583</v>
      </c>
      <c r="AC452" s="11">
        <f ca="1">(AB$452/AB$11+IF(AC$1&gt;0,AC$1*IF(AC$4=OFFSET(Choices!$B$10,0,$C$1),SUMPRODUCT(OFFSET(AB$452,0,0,1,-OFFSET(Choices!$B$59,0,$C$1)),OFFSET(AB$13,0,0,1,-OFFSET(Choices!$B$59,0,$C$1)))/OFFSET(Choices!$B$59,0,$C$1)-AB$452/AB$11,(AB$452/AB$11-AA$452/AA$11)/AB$1),0))*AC$11</f>
        <v>5.6749565458187297</v>
      </c>
    </row>
    <row r="453" spans="1:29" x14ac:dyDescent="0.2">
      <c r="A453" s="31" t="s">
        <v>768</v>
      </c>
      <c r="B453" s="4" t="str">
        <f>$B$46</f>
        <v>From Fiscal Forecasts</v>
      </c>
      <c r="F453" s="23">
        <f>'Fiscal Forecasts'!F$132</f>
        <v>4.5599999999999996</v>
      </c>
      <c r="G453" s="23">
        <f>'Fiscal Forecasts'!G$132</f>
        <v>4.7530000000000001</v>
      </c>
      <c r="H453" s="23">
        <f>'Fiscal Forecasts'!H$132</f>
        <v>5.5529999999999999</v>
      </c>
      <c r="I453" s="23">
        <f>'Fiscal Forecasts'!I$132</f>
        <v>5.984</v>
      </c>
      <c r="J453" s="23">
        <f>'Fiscal Forecasts'!J$132</f>
        <v>7.5860000000000003</v>
      </c>
      <c r="K453" s="23">
        <f>'Fiscal Forecasts'!K$132</f>
        <v>7.5060000000000002</v>
      </c>
      <c r="L453" s="23">
        <f>'Fiscal Forecasts'!L$132</f>
        <v>7.1379999999999999</v>
      </c>
      <c r="M453" s="23">
        <f>'Fiscal Forecasts'!M$132</f>
        <v>6.9550000000000001</v>
      </c>
      <c r="N453" s="23">
        <f>'Fiscal Forecasts'!N$132</f>
        <v>7.2210000000000001</v>
      </c>
      <c r="O453" s="25">
        <f>'Fiscal Forecasts'!O$132</f>
        <v>6.95</v>
      </c>
      <c r="P453" s="25">
        <f>'Fiscal Forecasts'!P$132</f>
        <v>6.6289999999999996</v>
      </c>
      <c r="Q453" s="25">
        <f>'Fiscal Forecasts'!Q$132</f>
        <v>6.5380000000000003</v>
      </c>
      <c r="R453" s="25">
        <f>'Fiscal Forecasts'!R$132</f>
        <v>6.4640000000000004</v>
      </c>
      <c r="S453" s="25">
        <f>'Fiscal Forecasts'!S$132</f>
        <v>6.4390000000000001</v>
      </c>
      <c r="T453" s="11">
        <f ca="1">((S$453-S$452)/S$11+IF(T$1&gt;0,T$1*IF(T$4=OFFSET(Choices!$B$10,0,$C$1),(SUMPRODUCT(OFFSET(S$453,0,0,1,-OFFSET(Choices!$B$59,0,$C$1)),OFFSET(S$13,0,0,1,-OFFSET(Choices!$B$59,0,$C$1)))-SUMPRODUCT(OFFSET(S$452,0,0,1,-OFFSET(Choices!$B$59,0,$C$1)),OFFSET(S$13,0,0,1,-OFFSET(Choices!$B$59,0,$C$1))))/OFFSET(Choices!$B$59,0,$C$1)-(S$453-S$452)/S$11,((S$453-S$452)/S$11-(R$453-R$452)/R$11)/S$1),0))*T$11 +T$452</f>
        <v>6.8395680848139255</v>
      </c>
      <c r="U453" s="11">
        <f ca="1">((T$453-T$452)/T$11+IF(U$1&gt;0,U$1*IF(U$4=OFFSET(Choices!$B$10,0,$C$1),(SUMPRODUCT(OFFSET(T$453,0,0,1,-OFFSET(Choices!$B$59,0,$C$1)),OFFSET(T$13,0,0,1,-OFFSET(Choices!$B$59,0,$C$1)))-SUMPRODUCT(OFFSET(T$452,0,0,1,-OFFSET(Choices!$B$59,0,$C$1)),OFFSET(T$13,0,0,1,-OFFSET(Choices!$B$59,0,$C$1))))/OFFSET(Choices!$B$59,0,$C$1)-(T$453-T$452)/T$11,((T$453-T$452)/T$11-(S$453-S$452)/S$11)/T$1),0))*U$11 +U$452</f>
        <v>7.2385102460085076</v>
      </c>
      <c r="V453" s="11">
        <f ca="1">((U$453-U$452)/U$11+IF(V$1&gt;0,V$1*IF(V$4=OFFSET(Choices!$B$10,0,$C$1),(SUMPRODUCT(OFFSET(U$453,0,0,1,-OFFSET(Choices!$B$59,0,$C$1)),OFFSET(U$13,0,0,1,-OFFSET(Choices!$B$59,0,$C$1)))-SUMPRODUCT(OFFSET(U$452,0,0,1,-OFFSET(Choices!$B$59,0,$C$1)),OFFSET(U$13,0,0,1,-OFFSET(Choices!$B$59,0,$C$1))))/OFFSET(Choices!$B$59,0,$C$1)-(U$453-U$452)/U$11,((U$453-U$452)/U$11-(T$453-T$452)/T$11)/U$1),0))*V$11 +V$452</f>
        <v>7.6384784042774951</v>
      </c>
      <c r="W453" s="11">
        <f ca="1">((V$453-V$452)/V$11+IF(W$1&gt;0,W$1*IF(W$4=OFFSET(Choices!$B$10,0,$C$1),(SUMPRODUCT(OFFSET(V$453,0,0,1,-OFFSET(Choices!$B$59,0,$C$1)),OFFSET(V$13,0,0,1,-OFFSET(Choices!$B$59,0,$C$1)))-SUMPRODUCT(OFFSET(V$452,0,0,1,-OFFSET(Choices!$B$59,0,$C$1)),OFFSET(V$13,0,0,1,-OFFSET(Choices!$B$59,0,$C$1))))/OFFSET(Choices!$B$59,0,$C$1)-(V$453-V$452)/V$11,((V$453-V$452)/V$11-(U$453-U$452)/U$11)/V$1),0))*W$11 +W$452</f>
        <v>8.0310878527859053</v>
      </c>
      <c r="X453" s="11">
        <f ca="1">((W$453-W$452)/W$11+IF(X$1&gt;0,X$1*IF(X$4=OFFSET(Choices!$B$10,0,$C$1),(SUMPRODUCT(OFFSET(W$453,0,0,1,-OFFSET(Choices!$B$59,0,$C$1)),OFFSET(W$13,0,0,1,-OFFSET(Choices!$B$59,0,$C$1)))-SUMPRODUCT(OFFSET(W$452,0,0,1,-OFFSET(Choices!$B$59,0,$C$1)),OFFSET(W$13,0,0,1,-OFFSET(Choices!$B$59,0,$C$1))))/OFFSET(Choices!$B$59,0,$C$1)-(W$453-W$452)/W$11,((W$453-W$452)/W$11-(V$453-V$452)/V$11)/W$1),0))*X$11 +X$452</f>
        <v>8.4150916961065594</v>
      </c>
      <c r="Y453" s="11">
        <f ca="1">((X$453-X$452)/X$11+IF(Y$1&gt;0,Y$1*IF(Y$4=OFFSET(Choices!$B$10,0,$C$1),(SUMPRODUCT(OFFSET(X$453,0,0,1,-OFFSET(Choices!$B$59,0,$C$1)),OFFSET(X$13,0,0,1,-OFFSET(Choices!$B$59,0,$C$1)))-SUMPRODUCT(OFFSET(X$452,0,0,1,-OFFSET(Choices!$B$59,0,$C$1)),OFFSET(X$13,0,0,1,-OFFSET(Choices!$B$59,0,$C$1))))/OFFSET(Choices!$B$59,0,$C$1)-(X$453-X$452)/X$11,((X$453-X$452)/X$11-(W$453-W$452)/W$11)/X$1),0))*Y$11 +Y$452</f>
        <v>8.7845424656711177</v>
      </c>
      <c r="Z453" s="11">
        <f ca="1">((Y$453-Y$452)/Y$11+IF(Z$1&gt;0,Z$1*IF(Z$4=OFFSET(Choices!$B$10,0,$C$1),(SUMPRODUCT(OFFSET(Y$453,0,0,1,-OFFSET(Choices!$B$59,0,$C$1)),OFFSET(Y$13,0,0,1,-OFFSET(Choices!$B$59,0,$C$1)))-SUMPRODUCT(OFFSET(Y$452,0,0,1,-OFFSET(Choices!$B$59,0,$C$1)),OFFSET(Y$13,0,0,1,-OFFSET(Choices!$B$59,0,$C$1))))/OFFSET(Choices!$B$59,0,$C$1)-(Y$453-Y$452)/Y$11,((Y$453-Y$452)/Y$11-(X$453-X$452)/X$11)/Y$1),0))*Z$11 +Z$452</f>
        <v>9.1648116794685297</v>
      </c>
      <c r="AA453" s="11">
        <f ca="1">((Z$453-Z$452)/Z$11+IF(AA$1&gt;0,AA$1*IF(AA$4=OFFSET(Choices!$B$10,0,$C$1),(SUMPRODUCT(OFFSET(Z$453,0,0,1,-OFFSET(Choices!$B$59,0,$C$1)),OFFSET(Z$13,0,0,1,-OFFSET(Choices!$B$59,0,$C$1)))-SUMPRODUCT(OFFSET(Z$452,0,0,1,-OFFSET(Choices!$B$59,0,$C$1)),OFFSET(Z$13,0,0,1,-OFFSET(Choices!$B$59,0,$C$1))))/OFFSET(Choices!$B$59,0,$C$1)-(Z$453-Z$452)/Z$11,((Z$453-Z$452)/Z$11-(Y$453-Y$452)/Y$11)/Z$1),0))*AA$11 +AA$452</f>
        <v>9.5561668775409281</v>
      </c>
      <c r="AB453" s="11">
        <f ca="1">((AA$453-AA$452)/AA$11+IF(AB$1&gt;0,AB$1*IF(AB$4=OFFSET(Choices!$B$10,0,$C$1),(SUMPRODUCT(OFFSET(AA$453,0,0,1,-OFFSET(Choices!$B$59,0,$C$1)),OFFSET(AA$13,0,0,1,-OFFSET(Choices!$B$59,0,$C$1)))-SUMPRODUCT(OFFSET(AA$452,0,0,1,-OFFSET(Choices!$B$59,0,$C$1)),OFFSET(AA$13,0,0,1,-OFFSET(Choices!$B$59,0,$C$1))))/OFFSET(Choices!$B$59,0,$C$1)-(AA$453-AA$452)/AA$11,((AA$453-AA$452)/AA$11-(Z$453-Z$452)/Z$11)/AA$1),0))*AB$11 +AB$452</f>
        <v>9.9570968309578092</v>
      </c>
      <c r="AC453" s="11">
        <f ca="1">((AB$453-AB$452)/AB$11+IF(AC$1&gt;0,AC$1*IF(AC$4=OFFSET(Choices!$B$10,0,$C$1),(SUMPRODUCT(OFFSET(AB$453,0,0,1,-OFFSET(Choices!$B$59,0,$C$1)),OFFSET(AB$13,0,0,1,-OFFSET(Choices!$B$59,0,$C$1)))-SUMPRODUCT(OFFSET(AB$452,0,0,1,-OFFSET(Choices!$B$59,0,$C$1)),OFFSET(AB$13,0,0,1,-OFFSET(Choices!$B$59,0,$C$1))))/OFFSET(Choices!$B$59,0,$C$1)-(AB$453-AB$452)/AB$11,((AB$453-AB$452)/AB$11-(AA$453-AA$452)/AA$11)/AB$1),0))*AC$11 +AC$452</f>
        <v>10.369691071469354</v>
      </c>
    </row>
    <row r="454" spans="1:29" x14ac:dyDescent="0.2">
      <c r="B454" s="4"/>
    </row>
    <row r="455" spans="1:29" ht="15.75" x14ac:dyDescent="0.25">
      <c r="A455" s="1" t="s">
        <v>824</v>
      </c>
    </row>
    <row r="456" spans="1:29" x14ac:dyDescent="0.2">
      <c r="A456" s="3" t="s">
        <v>260</v>
      </c>
      <c r="B456" s="4" t="str">
        <f t="shared" ref="B456:B462" si="235">$B$46</f>
        <v>From Fiscal Forecasts</v>
      </c>
      <c r="F456" s="21">
        <f>'Fiscal Forecasts'!F$421</f>
        <v>53.277999999999999</v>
      </c>
      <c r="G456" s="21">
        <f>'Fiscal Forecasts'!G$421</f>
        <v>55.975000000000001</v>
      </c>
      <c r="H456" s="21">
        <f>'Fiscal Forecasts'!H$421</f>
        <v>51.362000000000002</v>
      </c>
      <c r="I456" s="21">
        <f>'Fiscal Forecasts'!I$421</f>
        <v>50.631</v>
      </c>
      <c r="J456" s="21">
        <f>'Fiscal Forecasts'!J$421</f>
        <v>51.454000000000001</v>
      </c>
      <c r="K456" s="21">
        <f>'Fiscal Forecasts'!K$421</f>
        <v>54.249000000000002</v>
      </c>
      <c r="L456" s="21">
        <f>'Fiscal Forecasts'!L$421</f>
        <v>57.808</v>
      </c>
      <c r="M456" s="21">
        <f>'Fiscal Forecasts'!M$421</f>
        <v>61.320999999999998</v>
      </c>
      <c r="N456" s="21">
        <f>'Fiscal Forecasts'!N$421</f>
        <v>66.347999999999999</v>
      </c>
      <c r="O456" s="24">
        <f>'Fiscal Forecasts'!O$421</f>
        <v>67.265000000000001</v>
      </c>
      <c r="P456" s="24">
        <f>'Fiscal Forecasts'!P$421</f>
        <v>69.912999999999997</v>
      </c>
      <c r="Q456" s="24">
        <f>'Fiscal Forecasts'!Q$421</f>
        <v>74.561999999999998</v>
      </c>
      <c r="R456" s="24">
        <f>'Fiscal Forecasts'!R$421</f>
        <v>79.350999999999999</v>
      </c>
      <c r="S456" s="24">
        <f>'Fiscal Forecasts'!S$421</f>
        <v>83.463999999999999</v>
      </c>
      <c r="T456" s="26">
        <f t="shared" ref="T456:AC456" ca="1" si="236">(S$456-S$363)*T$142/S$142+T$363</f>
        <v>87.415567566916806</v>
      </c>
      <c r="U456" s="26">
        <f t="shared" ca="1" si="236"/>
        <v>91.478501004539865</v>
      </c>
      <c r="V456" s="26">
        <f t="shared" ca="1" si="236"/>
        <v>95.799347344513052</v>
      </c>
      <c r="W456" s="26">
        <f t="shared" ca="1" si="236"/>
        <v>100.26654906770165</v>
      </c>
      <c r="X456" s="26">
        <f t="shared" ca="1" si="236"/>
        <v>104.73296837627571</v>
      </c>
      <c r="Y456" s="26">
        <f t="shared" ca="1" si="236"/>
        <v>109.38887762199394</v>
      </c>
      <c r="Z456" s="26">
        <f t="shared" ca="1" si="236"/>
        <v>114.17923019682196</v>
      </c>
      <c r="AA456" s="26">
        <f t="shared" ca="1" si="236"/>
        <v>119.1068665491695</v>
      </c>
      <c r="AB456" s="26">
        <f t="shared" ca="1" si="236"/>
        <v>124.15308139406751</v>
      </c>
      <c r="AC456" s="26">
        <f t="shared" ca="1" si="236"/>
        <v>129.34395490535059</v>
      </c>
    </row>
    <row r="457" spans="1:29" x14ac:dyDescent="0.2">
      <c r="A457" s="3" t="s">
        <v>261</v>
      </c>
      <c r="B457" s="4" t="str">
        <f t="shared" si="235"/>
        <v>From Fiscal Forecasts</v>
      </c>
      <c r="F457" s="21">
        <f>'Fiscal Forecasts'!F$422</f>
        <v>0.39500000000000002</v>
      </c>
      <c r="G457" s="21">
        <f>'Fiscal Forecasts'!G$422</f>
        <v>0.48599999999999999</v>
      </c>
      <c r="H457" s="21">
        <f>'Fiscal Forecasts'!H$422</f>
        <v>0.48899999999999999</v>
      </c>
      <c r="I457" s="21">
        <f>'Fiscal Forecasts'!I$422</f>
        <v>0.56599999999999995</v>
      </c>
      <c r="J457" s="21">
        <f>'Fiscal Forecasts'!J$422</f>
        <v>0.64600000000000002</v>
      </c>
      <c r="K457" s="21">
        <f>'Fiscal Forecasts'!K$422</f>
        <v>0.67</v>
      </c>
      <c r="L457" s="21">
        <f>'Fiscal Forecasts'!L$422</f>
        <v>0.65100000000000002</v>
      </c>
      <c r="M457" s="21">
        <f>'Fiscal Forecasts'!M$422</f>
        <v>0.747</v>
      </c>
      <c r="N457" s="21">
        <f>'Fiscal Forecasts'!N$422</f>
        <v>0.88900000000000001</v>
      </c>
      <c r="O457" s="24">
        <f>'Fiscal Forecasts'!O$422</f>
        <v>0.83899999999999997</v>
      </c>
      <c r="P457" s="24">
        <f>'Fiscal Forecasts'!P$422</f>
        <v>0.85699999999999998</v>
      </c>
      <c r="Q457" s="24">
        <f>'Fiscal Forecasts'!Q$422</f>
        <v>0.86899999999999999</v>
      </c>
      <c r="R457" s="24">
        <f>'Fiscal Forecasts'!R$422</f>
        <v>0.88300000000000001</v>
      </c>
      <c r="S457" s="24">
        <f>'Fiscal Forecasts'!S$422</f>
        <v>0.89400000000000002</v>
      </c>
      <c r="T457" s="26">
        <f ca="1">IF(T$4=OFFSET(Choices!$B$10,0,$C$1),AVERAGE(Q$457/Q$149,R$457/R$149,S$457/S$149),S$457/S$149)*T$149</f>
        <v>0.93094097464609571</v>
      </c>
      <c r="U457" s="26">
        <f ca="1">IF(U$4=OFFSET(Choices!$B$10,0,$C$1),AVERAGE(R$457/R$149,S$457/S$149,T$457/T$149),T$457/T$149)*U$149</f>
        <v>0.96863862873741136</v>
      </c>
      <c r="V457" s="26">
        <f ca="1">IF(V$4=OFFSET(Choices!$B$10,0,$C$1),AVERAGE(S$457/S$149,T$457/T$149,U$457/U$149),U$457/U$149)*V$149</f>
        <v>1.0083944608385158</v>
      </c>
      <c r="W457" s="26">
        <f ca="1">IF(W$4=OFFSET(Choices!$B$10,0,$C$1),AVERAGE(T$457/T$149,U$457/U$149,V$457/V$149),V$457/V$149)*W$149</f>
        <v>1.0495766897909391</v>
      </c>
      <c r="X457" s="26">
        <f ca="1">IF(X$4=OFFSET(Choices!$B$10,0,$C$1),AVERAGE(U$457/U$149,V$457/V$149,W$457/W$149),W$457/W$149)*X$149</f>
        <v>1.0923924741810824</v>
      </c>
      <c r="Y457" s="26">
        <f ca="1">IF(Y$4=OFFSET(Choices!$B$10,0,$C$1),AVERAGE(V$457/V$149,W$457/W$149,X$457/X$149),X$457/X$149)*Y$149</f>
        <v>1.1365541372122197</v>
      </c>
      <c r="Z457" s="26">
        <f ca="1">IF(Z$4=OFFSET(Choices!$B$10,0,$C$1),AVERAGE(W$457/W$149,X$457/X$149,Y$457/Y$149),Y$457/Y$149)*Z$149</f>
        <v>1.1819794662191752</v>
      </c>
      <c r="AA457" s="26">
        <f ca="1">IF(AA$4=OFFSET(Choices!$B$10,0,$C$1),AVERAGE(X$457/X$149,Y$457/Y$149,Z$457/Z$149),Z$457/Z$149)*AA$149</f>
        <v>1.2286994110300844</v>
      </c>
      <c r="AB457" s="26">
        <f ca="1">IF(AB$4=OFFSET(Choices!$B$10,0,$C$1),AVERAGE(Y$457/Y$149,Z$457/Z$149,AA$457/AA$149),AA$457/AA$149)*AB$149</f>
        <v>1.2765476248513266</v>
      </c>
      <c r="AC457" s="26">
        <f ca="1">IF(AC$4=OFFSET(Choices!$B$10,0,$C$1),AVERAGE(Z$457/Z$149,AA$457/AA$149,AB$457/AB$149),AB$457/AB$149)*AC$149</f>
        <v>1.3257572256848738</v>
      </c>
    </row>
    <row r="458" spans="1:29" x14ac:dyDescent="0.2">
      <c r="A458" s="3" t="s">
        <v>684</v>
      </c>
      <c r="B458" s="4" t="str">
        <f t="shared" si="235"/>
        <v>From Fiscal Forecasts</v>
      </c>
      <c r="F458" s="21">
        <f>'Fiscal Forecasts'!F$423</f>
        <v>1.8959999999999999</v>
      </c>
      <c r="G458" s="21">
        <f>'Fiscal Forecasts'!G$423</f>
        <v>2.1280000000000001</v>
      </c>
      <c r="H458" s="21">
        <f>'Fiscal Forecasts'!H$423</f>
        <v>1.4410000000000001</v>
      </c>
      <c r="I458" s="21">
        <f>'Fiscal Forecasts'!I$423</f>
        <v>1.897</v>
      </c>
      <c r="J458" s="21">
        <f>'Fiscal Forecasts'!J$423</f>
        <v>1.8169999999999999</v>
      </c>
      <c r="K458" s="21">
        <f>'Fiscal Forecasts'!K$423</f>
        <v>1.431</v>
      </c>
      <c r="L458" s="21">
        <f>'Fiscal Forecasts'!L$423</f>
        <v>1.5529999999999999</v>
      </c>
      <c r="M458" s="21">
        <f>'Fiscal Forecasts'!M$423</f>
        <v>1.627</v>
      </c>
      <c r="N458" s="21">
        <f>'Fiscal Forecasts'!N$423</f>
        <v>1.806</v>
      </c>
      <c r="O458" s="24">
        <f>'Fiscal Forecasts'!O$423</f>
        <v>1.7290000000000001</v>
      </c>
      <c r="P458" s="24">
        <f>'Fiscal Forecasts'!P$423</f>
        <v>1.6779999999999999</v>
      </c>
      <c r="Q458" s="24">
        <f>'Fiscal Forecasts'!Q$423</f>
        <v>1.7949999999999999</v>
      </c>
      <c r="R458" s="24">
        <f>'Fiscal Forecasts'!R$423</f>
        <v>2.0209999999999999</v>
      </c>
      <c r="S458" s="24">
        <f>'Fiscal Forecasts'!S$423</f>
        <v>2.1419999999999999</v>
      </c>
      <c r="T458" s="26">
        <f ca="1">IF(T$4=OFFSET(Choices!$B$10,0,$C$1),AVERAGE(Q$458/(Q$162-Q$392-Q$362),R$458/(R$162-R$392-R$362),S$458/(S$162-S$392-S$362)),S$458/(S$162-S$392-S$362))*(T$162-T$392-T$362)</f>
        <v>1.968940038072327</v>
      </c>
      <c r="U458" s="26">
        <f ca="1">IF(U$4=OFFSET(Choices!$B$10,0,$C$1),AVERAGE(R$458/(R$162-R$392-R$362),S$458/(S$162-S$392-S$362),T$458/(T$162-T$392-T$362)),T$458/(T$162-T$392-T$362))*(U$162-U$392-U$362)</f>
        <v>2.1497511504429982</v>
      </c>
      <c r="V458" s="26">
        <f ca="1">IF(V$4=OFFSET(Choices!$B$10,0,$C$1),AVERAGE(S$458/(S$162-S$392-S$362),T$458/(T$162-T$392-T$362),U$458/(U$162-U$392-U$362)),U$458/(U$162-U$392-U$362))*(V$162-V$392-V$362)</f>
        <v>2.3110396159499378</v>
      </c>
      <c r="W458" s="26">
        <f ca="1">IF(W$4=OFFSET(Choices!$B$10,0,$C$1),AVERAGE(T$458/(T$162-T$392-T$362),U$458/(U$162-U$392-U$362),V$458/(V$162-V$392-V$362)),V$458/(V$162-V$392-V$362))*(W$162-W$392-W$362)</f>
        <v>2.4210280913464217</v>
      </c>
      <c r="X458" s="26">
        <f ca="1">IF(X$4=OFFSET(Choices!$B$10,0,$C$1),AVERAGE(U$458/(U$162-U$392-U$362),V$458/(V$162-V$392-V$362),W$458/(W$162-W$392-W$362)),W$458/(W$162-W$392-W$362))*(X$162-X$392-X$362)</f>
        <v>2.5328784865884133</v>
      </c>
      <c r="Y458" s="26">
        <f ca="1">IF(Y$4=OFFSET(Choices!$B$10,0,$C$1),AVERAGE(V$458/(V$162-V$392-V$362),W$458/(W$162-W$392-W$362),X$458/(X$162-X$392-X$362)),X$458/(X$162-X$392-X$362))*(Y$162-Y$392-Y$362)</f>
        <v>2.6461395970294732</v>
      </c>
      <c r="Z458" s="26">
        <f ca="1">IF(Z$4=OFFSET(Choices!$B$10,0,$C$1),AVERAGE(W$458/(W$162-W$392-W$362),X$458/(X$162-X$392-X$362),Y$458/(Y$162-Y$392-Y$362)),Y$458/(Y$162-Y$392-Y$362))*(Z$162-Z$392-Z$362)</f>
        <v>2.7614829651498898</v>
      </c>
      <c r="AA458" s="26">
        <f ca="1">IF(AA$4=OFFSET(Choices!$B$10,0,$C$1),AVERAGE(X$458/(X$162-X$392-X$362),Y$458/(Y$162-Y$392-Y$362),Z$458/(Z$162-Z$392-Z$362)),Z$458/(Z$162-Z$392-Z$362))*(AA$162-AA$392-AA$362)</f>
        <v>2.8801962988800196</v>
      </c>
      <c r="AB458" s="26">
        <f ca="1">IF(AB$4=OFFSET(Choices!$B$10,0,$C$1),AVERAGE(Y$458/(Y$162-Y$392-Y$362),Z$458/(Z$162-Z$392-Z$362),AA$458/(AA$162-AA$392-AA$362)),AA$458/(AA$162-AA$392-AA$362))*(AB$162-AB$392-AB$362)</f>
        <v>3.0020882584283957</v>
      </c>
      <c r="AC458" s="26">
        <f ca="1">IF(AC$4=OFFSET(Choices!$B$10,0,$C$1),AVERAGE(Z$458/(Z$162-Z$392-Z$362),AA$458/(AA$162-AA$392-AA$362),AB$458/(AB$162-AB$392-AB$362)),AB$458/(AB$162-AB$392-AB$362))*(AC$162-AC$392-AC$362)</f>
        <v>3.1272478148728813</v>
      </c>
    </row>
    <row r="459" spans="1:29" x14ac:dyDescent="0.2">
      <c r="A459" s="3" t="s">
        <v>724</v>
      </c>
      <c r="B459" s="4" t="str">
        <f t="shared" si="235"/>
        <v>From Fiscal Forecasts</v>
      </c>
      <c r="F459" s="21">
        <f>'Fiscal Forecasts'!F$424</f>
        <v>1.4330000000000001</v>
      </c>
      <c r="G459" s="21">
        <f>'Fiscal Forecasts'!G$424</f>
        <v>1.411</v>
      </c>
      <c r="H459" s="21">
        <f>'Fiscal Forecasts'!H$424</f>
        <v>2.2879999999999998</v>
      </c>
      <c r="I459" s="21">
        <f>'Fiscal Forecasts'!I$424</f>
        <v>2.6579999999999999</v>
      </c>
      <c r="J459" s="21">
        <f>'Fiscal Forecasts'!J$424</f>
        <v>2.0939999999999999</v>
      </c>
      <c r="K459" s="21">
        <f>'Fiscal Forecasts'!K$424</f>
        <v>2.6989999999999998</v>
      </c>
      <c r="L459" s="21">
        <f>'Fiscal Forecasts'!L$424</f>
        <v>2.3849999999999998</v>
      </c>
      <c r="M459" s="21">
        <f>'Fiscal Forecasts'!M$424</f>
        <v>2.3969999999999998</v>
      </c>
      <c r="N459" s="21">
        <f>'Fiscal Forecasts'!N$424</f>
        <v>2.4329999999999998</v>
      </c>
      <c r="O459" s="24">
        <f>'Fiscal Forecasts'!O$424</f>
        <v>2.0019999999999998</v>
      </c>
      <c r="P459" s="24">
        <f>'Fiscal Forecasts'!P$424</f>
        <v>2.2919999999999998</v>
      </c>
      <c r="Q459" s="24">
        <f>'Fiscal Forecasts'!Q$424</f>
        <v>1.992</v>
      </c>
      <c r="R459" s="24">
        <f>'Fiscal Forecasts'!R$424</f>
        <v>1.966</v>
      </c>
      <c r="S459" s="24">
        <f>'Fiscal Forecasts'!S$424</f>
        <v>1.956</v>
      </c>
      <c r="T459" s="26">
        <f ca="1">IF(T$4=OFFSET(Choices!$B$10,0,$C$1),AVERAGE((Q$459-(Q$433-P$433))/(Q$155+Q$168),(R$459-(R$433-Q$433))/(R$155+R$168),(S$459-(S$433-R$433))/(S$155+S$168)),(S$459-(S$433-R$433))/(S$155+S$168))*(T$155+T$168)+T$433-S$433</f>
        <v>2.1327794996565412</v>
      </c>
      <c r="U459" s="26">
        <f ca="1">IF(U$4=OFFSET(Choices!$B$10,0,$C$1),AVERAGE((R$459-(R$433-Q$433))/(R$155+R$168),(S$459-(S$433-R$433))/(S$155+S$168),(T$459-(T$433-S$433))/(T$155+T$168)),(T$459-(T$433-S$433))/(T$155+T$168))*(U$155+U$168)+U$433-T$433</f>
        <v>2.2245488267113318</v>
      </c>
      <c r="V459" s="26">
        <f ca="1">IF(V$4=OFFSET(Choices!$B$10,0,$C$1),AVERAGE((S$459-(S$433-R$433))/(S$155+S$168),(T$459-(T$433-S$433))/(T$155+T$168),(U$459-(U$433-T$433))/(U$155+U$168)),(U$459-(U$433-T$433))/(U$155+U$168))*(V$155+V$168)+V$433-U$433</f>
        <v>2.3216502313630247</v>
      </c>
      <c r="W459" s="26">
        <f ca="1">IF(W$4=OFFSET(Choices!$B$10,0,$C$1),AVERAGE((T$459-(T$433-S$433))/(T$155+T$168),(U$459-(U$433-T$433))/(U$155+U$168),(V$459-(V$433-U$433))/(V$155+V$168)),(V$459-(V$433-U$433))/(V$155+V$168))*(W$155+W$168)+W$433-V$433</f>
        <v>2.4216234248800941</v>
      </c>
      <c r="X459" s="26">
        <f ca="1">IF(X$4=OFFSET(Choices!$B$10,0,$C$1),AVERAGE((U$459-(U$433-T$433))/(U$155+U$168),(V$459-(V$433-U$433))/(V$155+V$168),(W$459-(W$433-V$433))/(W$155+W$168)),(W$459-(W$433-V$433))/(W$155+W$168))*(X$155+X$168)+X$433-W$433</f>
        <v>2.5254792250601943</v>
      </c>
      <c r="Y459" s="26">
        <f ca="1">IF(Y$4=OFFSET(Choices!$B$10,0,$C$1),AVERAGE((V$459-(V$433-U$433))/(V$155+V$168),(W$459-(W$433-V$433))/(W$155+W$168),(X$459-(X$433-W$433))/(X$155+X$168)),(X$459-(X$433-W$433))/(X$155+X$168))*(Y$155+Y$168)+Y$433-X$433</f>
        <v>2.6321022611320748</v>
      </c>
      <c r="Z459" s="26">
        <f ca="1">IF(Z$4=OFFSET(Choices!$B$10,0,$C$1),AVERAGE((W$459-(W$433-V$433))/(W$155+W$168),(X$459-(X$433-W$433))/(X$155+X$168),(Y$459-(Y$433-X$433))/(Y$155+Y$168)),(Y$459-(Y$433-X$433))/(Y$155+Y$168))*(Z$155+Z$168)+Z$433-Y$433</f>
        <v>2.7456849236229712</v>
      </c>
      <c r="AA459" s="26">
        <f ca="1">IF(AA$4=OFFSET(Choices!$B$10,0,$C$1),AVERAGE((X$459-(X$433-W$433))/(X$155+X$168),(Y$459-(Y$433-X$433))/(Y$155+Y$168),(Z$459-(Z$433-Y$433))/(Z$155+Z$168)),(Z$459-(Z$433-Y$433))/(Z$155+Z$168))*(AA$155+AA$168)+AA$433-Z$433</f>
        <v>2.8625755593411681</v>
      </c>
      <c r="AB459" s="26">
        <f ca="1">IF(AB$4=OFFSET(Choices!$B$10,0,$C$1),AVERAGE((Y$459-(Y$433-X$433))/(Y$155+Y$168),(Z$459-(Z$433-Y$433))/(Z$155+Z$168),(AA$459-(AA$433-Z$433))/(AA$155+AA$168)),(AA$459-(AA$433-Z$433))/(AA$155+AA$168))*(AB$155+AB$168)+AB$433-AA$433</f>
        <v>2.9822030375675608</v>
      </c>
      <c r="AC459" s="26">
        <f ca="1">IF(AC$4=OFFSET(Choices!$B$10,0,$C$1),AVERAGE((Z$459-(Z$433-Y$433))/(Z$155+Z$168),(AA$459-(AA$433-Z$433))/(AA$155+AA$168),(AB$459-(AB$433-AA$433))/(AB$155+AB$168)),(AB$459-(AB$433-AA$433))/(AB$155+AB$168))*(AC$155+AC$168)+AC$433-AB$433</f>
        <v>3.1054357765448226</v>
      </c>
    </row>
    <row r="460" spans="1:29" x14ac:dyDescent="0.2">
      <c r="A460" s="3" t="s">
        <v>229</v>
      </c>
      <c r="B460" s="4" t="str">
        <f t="shared" si="235"/>
        <v>From Fiscal Forecasts</v>
      </c>
      <c r="F460" s="21">
        <f>'Fiscal Forecasts'!F$425</f>
        <v>-17.234000000000002</v>
      </c>
      <c r="G460" s="21">
        <f>'Fiscal Forecasts'!G$425</f>
        <v>-19.562000000000001</v>
      </c>
      <c r="H460" s="21">
        <f>'Fiscal Forecasts'!H$425</f>
        <v>-19.952999999999999</v>
      </c>
      <c r="I460" s="21">
        <f>'Fiscal Forecasts'!I$425</f>
        <v>-21.605</v>
      </c>
      <c r="J460" s="21">
        <f>'Fiscal Forecasts'!J$425</f>
        <v>-22.225999999999999</v>
      </c>
      <c r="K460" s="21">
        <f>'Fiscal Forecasts'!K$425</f>
        <v>-22.853999999999999</v>
      </c>
      <c r="L460" s="21">
        <f>'Fiscal Forecasts'!L$425</f>
        <v>-22.78</v>
      </c>
      <c r="M460" s="21">
        <f>'Fiscal Forecasts'!M$425</f>
        <v>-23.446999999999999</v>
      </c>
      <c r="N460" s="21">
        <f>'Fiscal Forecasts'!N$425</f>
        <v>-23.895</v>
      </c>
      <c r="O460" s="24">
        <f>'Fiscal Forecasts'!O$425</f>
        <v>-24.489000000000001</v>
      </c>
      <c r="P460" s="24">
        <f>'Fiscal Forecasts'!P$425</f>
        <v>-25.538</v>
      </c>
      <c r="Q460" s="24">
        <f>'Fiscal Forecasts'!Q$425</f>
        <v>-26.420999999999999</v>
      </c>
      <c r="R460" s="24">
        <f>'Fiscal Forecasts'!R$425</f>
        <v>-27.186</v>
      </c>
      <c r="S460" s="24">
        <f>'Fiscal Forecasts'!S$425</f>
        <v>-28.65</v>
      </c>
      <c r="T460" s="26">
        <f t="shared" ref="T460:AC460" ca="1" si="237">-T$188</f>
        <v>-29.578119587091443</v>
      </c>
      <c r="U460" s="26">
        <f t="shared" ca="1" si="237"/>
        <v>-30.950889287950449</v>
      </c>
      <c r="V460" s="26">
        <f t="shared" ca="1" si="237"/>
        <v>-32.54653928453704</v>
      </c>
      <c r="W460" s="26">
        <f t="shared" ca="1" si="237"/>
        <v>-34.254118644900565</v>
      </c>
      <c r="X460" s="26">
        <f t="shared" ca="1" si="237"/>
        <v>-36.049640414916446</v>
      </c>
      <c r="Y460" s="26">
        <f t="shared" ca="1" si="237"/>
        <v>-37.960719618396332</v>
      </c>
      <c r="Z460" s="26">
        <f t="shared" ca="1" si="237"/>
        <v>-39.975302563065583</v>
      </c>
      <c r="AA460" s="26">
        <f t="shared" ca="1" si="237"/>
        <v>-42.057600488981244</v>
      </c>
      <c r="AB460" s="26">
        <f t="shared" ca="1" si="237"/>
        <v>-44.185218162340163</v>
      </c>
      <c r="AC460" s="26">
        <f t="shared" ca="1" si="237"/>
        <v>-46.326193973471874</v>
      </c>
    </row>
    <row r="461" spans="1:29" x14ac:dyDescent="0.2">
      <c r="A461" s="3" t="s">
        <v>685</v>
      </c>
      <c r="B461" s="4" t="str">
        <f t="shared" si="235"/>
        <v>From Fiscal Forecasts</v>
      </c>
      <c r="F461" s="21">
        <f>'Fiscal Forecasts'!F$426</f>
        <v>-28.962</v>
      </c>
      <c r="G461" s="21">
        <f>'Fiscal Forecasts'!G$426</f>
        <v>-30.792000000000002</v>
      </c>
      <c r="H461" s="21">
        <f>'Fiscal Forecasts'!H$426</f>
        <v>-35.393999999999998</v>
      </c>
      <c r="I461" s="21">
        <f>'Fiscal Forecasts'!I$426</f>
        <v>-37.156999999999996</v>
      </c>
      <c r="J461" s="21">
        <f>'Fiscal Forecasts'!J$426</f>
        <v>-40.433</v>
      </c>
      <c r="K461" s="21">
        <f>'Fiscal Forecasts'!K$426</f>
        <v>-40.036000000000001</v>
      </c>
      <c r="L461" s="21">
        <f>'Fiscal Forecasts'!L$426</f>
        <v>-40.411999999999999</v>
      </c>
      <c r="M461" s="21">
        <f>'Fiscal Forecasts'!M$426</f>
        <v>-41.988999999999997</v>
      </c>
      <c r="N461" s="21">
        <f>'Fiscal Forecasts'!N$426</f>
        <v>-42.064</v>
      </c>
      <c r="O461" s="24">
        <f>'Fiscal Forecasts'!O$426</f>
        <v>-44.344999999999999</v>
      </c>
      <c r="P461" s="24">
        <f>'Fiscal Forecasts'!P$426</f>
        <v>-43.463000000000001</v>
      </c>
      <c r="Q461" s="24">
        <f>'Fiscal Forecasts'!Q$426</f>
        <v>-43.826999999999998</v>
      </c>
      <c r="R461" s="24">
        <f>'Fiscal Forecasts'!R$426</f>
        <v>-43.164000000000001</v>
      </c>
      <c r="S461" s="24">
        <f>'Fiscal Forecasts'!S$426</f>
        <v>-43.222999999999999</v>
      </c>
      <c r="T461" s="26">
        <f t="shared" ref="T461:AC461" ca="1" si="238">-(SUM(T$202,T$216-(T$149-T$457),T$232)-T$267-T$364+SUM(T$390,T$393)+SUM(T$397-S$397,T$400-S$400)-SUM(T$429-S$429,T$437-S$437,T$444-S$444+T$334,T$452-S$452))</f>
        <v>-42.304638332577049</v>
      </c>
      <c r="U461" s="26">
        <f t="shared" ca="1" si="238"/>
        <v>-42.380212945736332</v>
      </c>
      <c r="V461" s="26">
        <f t="shared" ca="1" si="238"/>
        <v>-42.458059912263472</v>
      </c>
      <c r="W461" s="26">
        <f t="shared" ca="1" si="238"/>
        <v>-42.537942416912038</v>
      </c>
      <c r="X461" s="26">
        <f t="shared" ca="1" si="238"/>
        <v>-42.62398913674113</v>
      </c>
      <c r="Y461" s="26">
        <f t="shared" ca="1" si="238"/>
        <v>-42.715905014610755</v>
      </c>
      <c r="Z461" s="26">
        <f t="shared" ca="1" si="238"/>
        <v>-42.77896055980527</v>
      </c>
      <c r="AA461" s="26">
        <f t="shared" ca="1" si="238"/>
        <v>-42.844555209717711</v>
      </c>
      <c r="AB461" s="26">
        <f t="shared" ca="1" si="238"/>
        <v>-42.918098436717671</v>
      </c>
      <c r="AC461" s="26">
        <f t="shared" ca="1" si="238"/>
        <v>-42.991971340703529</v>
      </c>
    </row>
    <row r="462" spans="1:29" x14ac:dyDescent="0.2">
      <c r="A462" s="3" t="s">
        <v>258</v>
      </c>
      <c r="B462" s="4" t="str">
        <f t="shared" si="235"/>
        <v>From Fiscal Forecasts</v>
      </c>
      <c r="F462" s="21">
        <f>'Fiscal Forecasts'!F$427</f>
        <v>-2.2200000000000002</v>
      </c>
      <c r="G462" s="21">
        <f>'Fiscal Forecasts'!G$427</f>
        <v>-2.3540000000000001</v>
      </c>
      <c r="H462" s="21">
        <f>'Fiscal Forecasts'!H$427</f>
        <v>-2.2000000000000002</v>
      </c>
      <c r="I462" s="21">
        <f>'Fiscal Forecasts'!I$427</f>
        <v>-1.9810000000000001</v>
      </c>
      <c r="J462" s="21">
        <f>'Fiscal Forecasts'!J$427</f>
        <v>-2.637</v>
      </c>
      <c r="K462" s="21">
        <f>'Fiscal Forecasts'!K$427</f>
        <v>-3.3690000000000002</v>
      </c>
      <c r="L462" s="21">
        <f>'Fiscal Forecasts'!L$427</f>
        <v>-3.7290000000000001</v>
      </c>
      <c r="M462" s="21">
        <f>'Fiscal Forecasts'!M$427</f>
        <v>-3.6419999999999999</v>
      </c>
      <c r="N462" s="21">
        <f>'Fiscal Forecasts'!N$427</f>
        <v>-3.9220000000000002</v>
      </c>
      <c r="O462" s="24">
        <f>'Fiscal Forecasts'!O$427</f>
        <v>-3.64</v>
      </c>
      <c r="P462" s="24">
        <f>'Fiscal Forecasts'!P$427</f>
        <v>-3.8479999999999999</v>
      </c>
      <c r="Q462" s="24">
        <f>'Fiscal Forecasts'!Q$427</f>
        <v>-3.9449999999999998</v>
      </c>
      <c r="R462" s="24">
        <f>'Fiscal Forecasts'!R$427</f>
        <v>-4.1100000000000003</v>
      </c>
      <c r="S462" s="24">
        <f>'Fiscal Forecasts'!S$427</f>
        <v>-3.9049999999999998</v>
      </c>
      <c r="T462" s="26">
        <f ca="1">IF(T$4=OFFSET(Choices!$B$10,0,$C$1),AVERAGE(Q$462/Q$223,R$462/R$223,S$462/S$223),S$462/S$223)*(T$223)</f>
        <v>-4.2507522024118058</v>
      </c>
      <c r="U462" s="26">
        <f ca="1">IF(U$4=OFFSET(Choices!$B$10,0,$C$1),AVERAGE(R$462/R$223,S$462/S$223,T$462/T$223),T$462/T$223)*(U$223)</f>
        <v>-4.2973636680087024</v>
      </c>
      <c r="V462" s="26">
        <f ca="1">IF(V$4=OFFSET(Choices!$B$10,0,$C$1),AVERAGE(S$462/S$223,T$462/T$223,U$462/U$223),U$462/U$223)*(V$223)</f>
        <v>-4.3470327697762601</v>
      </c>
      <c r="W462" s="26">
        <f ca="1">IF(W$4=OFFSET(Choices!$B$10,0,$C$1),AVERAGE(T$462/T$223,U$462/U$223,V$462/V$223),V$462/V$223)*(W$223)</f>
        <v>-4.4052054073938951</v>
      </c>
      <c r="X462" s="26">
        <f ca="1">IF(X$4=OFFSET(Choices!$B$10,0,$C$1),AVERAGE(U$462/U$223,V$462/V$223,W$462/W$223),W$462/W$223)*(X$223)</f>
        <v>-4.4021643148098617</v>
      </c>
      <c r="Y462" s="26">
        <f ca="1">IF(Y$4=OFFSET(Choices!$B$10,0,$C$1),AVERAGE(V$462/V$223,W$462/W$223,X$462/X$223),X$462/X$223)*(Y$223)</f>
        <v>-4.3291218925033457</v>
      </c>
      <c r="Z462" s="26">
        <f ca="1">IF(Z$4=OFFSET(Choices!$B$10,0,$C$1),AVERAGE(W$462/W$223,X$462/X$223,Y$462/Y$223),Y$462/Y$223)*(Z$223)</f>
        <v>-4.1734775866996339</v>
      </c>
      <c r="AA462" s="26">
        <f ca="1">IF(AA$4=OFFSET(Choices!$B$10,0,$C$1),AVERAGE(X$462/X$223,Y$462/Y$223,Z$462/Z$223),Z$462/Z$223)*(AA$223)</f>
        <v>-3.8155827406864784</v>
      </c>
      <c r="AB462" s="26">
        <f ca="1">IF(AB$4=OFFSET(Choices!$B$10,0,$C$1),AVERAGE(Y$462/Y$223,Z$462/Z$223,AA$462/AA$223),AA$462/AA$223)*(AB$223)</f>
        <v>-3.3638158797101574</v>
      </c>
      <c r="AC462" s="26">
        <f ca="1">IF(AC$4=OFFSET(Choices!$B$10,0,$C$1),AVERAGE(Z$462/Z$223,AA$462/AA$223,AB$462/AB$223),AB$462/AB$223)*(AC$223)</f>
        <v>-2.813600974934964</v>
      </c>
    </row>
    <row r="463" spans="1:29" x14ac:dyDescent="0.2">
      <c r="A463" s="31" t="s">
        <v>725</v>
      </c>
      <c r="F463" s="56">
        <f t="shared" ref="F463:AC463" si="239">SUM(F$456:F$462)-SUM(F$241,F$243)</f>
        <v>8.5860000000000003</v>
      </c>
      <c r="G463" s="56">
        <f t="shared" si="239"/>
        <v>7.2920000000000007</v>
      </c>
      <c r="H463" s="56">
        <f t="shared" si="239"/>
        <v>-1.9670000000000032</v>
      </c>
      <c r="I463" s="56">
        <f t="shared" si="239"/>
        <v>-4.9909999999999908</v>
      </c>
      <c r="J463" s="56">
        <f t="shared" si="239"/>
        <v>-9.2849999999999966</v>
      </c>
      <c r="K463" s="56">
        <f t="shared" si="239"/>
        <v>-7.2100000000000009</v>
      </c>
      <c r="L463" s="56">
        <f t="shared" si="239"/>
        <v>-4.5240000000000018</v>
      </c>
      <c r="M463" s="56">
        <f t="shared" si="239"/>
        <v>-2.9860000000000011</v>
      </c>
      <c r="N463" s="56">
        <f t="shared" si="239"/>
        <v>1.5950000000000029</v>
      </c>
      <c r="O463" s="57">
        <f t="shared" si="239"/>
        <v>0.11499999999999033</v>
      </c>
      <c r="P463" s="57">
        <f t="shared" si="239"/>
        <v>1.3679999999999972</v>
      </c>
      <c r="Q463" s="57">
        <f t="shared" si="239"/>
        <v>1.8190000000000057</v>
      </c>
      <c r="R463" s="57">
        <f t="shared" si="239"/>
        <v>4.8459999999999885</v>
      </c>
      <c r="S463" s="57">
        <f t="shared" si="239"/>
        <v>6.2420000000000062</v>
      </c>
      <c r="T463" s="58">
        <f t="shared" ca="1" si="239"/>
        <v>8.3277179572114672</v>
      </c>
      <c r="U463" s="58">
        <f t="shared" ca="1" si="239"/>
        <v>9.6239537087361171</v>
      </c>
      <c r="V463" s="58">
        <f t="shared" ca="1" si="239"/>
        <v>10.906119286087765</v>
      </c>
      <c r="W463" s="58">
        <f t="shared" ca="1" si="239"/>
        <v>12.132896796512608</v>
      </c>
      <c r="X463" s="58">
        <f t="shared" ca="1" si="239"/>
        <v>13.300458407477969</v>
      </c>
      <c r="Y463" s="58">
        <f t="shared" ca="1" si="239"/>
        <v>14.578031477934083</v>
      </c>
      <c r="Z463" s="58">
        <f t="shared" ca="1" si="239"/>
        <v>15.97406331604186</v>
      </c>
      <c r="AA463" s="58">
        <f t="shared" ca="1" si="239"/>
        <v>17.612414382309641</v>
      </c>
      <c r="AB463" s="58">
        <f t="shared" ca="1" si="239"/>
        <v>19.381359139486605</v>
      </c>
      <c r="AC463" s="58">
        <f t="shared" ca="1" si="239"/>
        <v>21.351612162749372</v>
      </c>
    </row>
    <row r="464" spans="1:29" x14ac:dyDescent="0.2">
      <c r="A464" s="3" t="s">
        <v>778</v>
      </c>
      <c r="B464" s="4" t="str">
        <f>$B$46</f>
        <v>From Fiscal Forecasts</v>
      </c>
      <c r="F464" s="21">
        <f>'Fiscal Forecasts'!F$429</f>
        <v>-1.7549999999999999</v>
      </c>
      <c r="G464" s="21">
        <f>'Fiscal Forecasts'!G$429</f>
        <v>-1.4330000000000001</v>
      </c>
      <c r="H464" s="21">
        <f>'Fiscal Forecasts'!H$429</f>
        <v>-1.625</v>
      </c>
      <c r="I464" s="21">
        <f>'Fiscal Forecasts'!I$429</f>
        <v>-1.778</v>
      </c>
      <c r="J464" s="21">
        <f>'Fiscal Forecasts'!J$429</f>
        <v>-1.524</v>
      </c>
      <c r="K464" s="21">
        <f>'Fiscal Forecasts'!K$429</f>
        <v>-1.262</v>
      </c>
      <c r="L464" s="21">
        <f>'Fiscal Forecasts'!L$429</f>
        <v>-1.2310000000000001</v>
      </c>
      <c r="M464" s="21">
        <f>'Fiscal Forecasts'!M$429</f>
        <v>-1.867</v>
      </c>
      <c r="N464" s="21">
        <f>'Fiscal Forecasts'!N$429</f>
        <v>-1.9550000000000001</v>
      </c>
      <c r="O464" s="24">
        <f>'Fiscal Forecasts'!O$429</f>
        <v>-3.0339999999999998</v>
      </c>
      <c r="P464" s="24">
        <f>'Fiscal Forecasts'!P$429</f>
        <v>-2.7570000000000001</v>
      </c>
      <c r="Q464" s="24">
        <f>'Fiscal Forecasts'!Q$429</f>
        <v>-1.85</v>
      </c>
      <c r="R464" s="24">
        <f>'Fiscal Forecasts'!R$429</f>
        <v>-1.7430000000000001</v>
      </c>
      <c r="S464" s="24">
        <f>'Fiscal Forecasts'!S$429</f>
        <v>-1.766</v>
      </c>
      <c r="T464" s="26">
        <f t="shared" ref="T464:AC464" ca="1" si="240">-(SUM(T$404-S$404-(T$372-S$372),T$410)+SUM(T$419-S$419,T$209-T$410))</f>
        <v>-1.8753309622035101</v>
      </c>
      <c r="U464" s="26">
        <f t="shared" ca="1" si="240"/>
        <v>-1.9235895469678086</v>
      </c>
      <c r="V464" s="26">
        <f t="shared" ca="1" si="240"/>
        <v>-1.9723488657663859</v>
      </c>
      <c r="W464" s="26">
        <f t="shared" ca="1" si="240"/>
        <v>-2.023457746143114</v>
      </c>
      <c r="X464" s="26">
        <f t="shared" ca="1" si="240"/>
        <v>-2.0738180965649398</v>
      </c>
      <c r="Y464" s="26">
        <f t="shared" ca="1" si="240"/>
        <v>-2.1238782262636233</v>
      </c>
      <c r="Z464" s="26">
        <f t="shared" ca="1" si="240"/>
        <v>-2.1805844143590889</v>
      </c>
      <c r="AA464" s="26">
        <f t="shared" ca="1" si="240"/>
        <v>-2.2383225304495826</v>
      </c>
      <c r="AB464" s="26">
        <f t="shared" ca="1" si="240"/>
        <v>-2.2966730909974533</v>
      </c>
      <c r="AC464" s="26">
        <f t="shared" ca="1" si="240"/>
        <v>-2.3565143278771381</v>
      </c>
    </row>
    <row r="465" spans="1:29" x14ac:dyDescent="0.2">
      <c r="A465" s="3" t="s">
        <v>711</v>
      </c>
      <c r="B465" s="4" t="str">
        <f>$B$46</f>
        <v>From Fiscal Forecasts</v>
      </c>
      <c r="F465" s="21">
        <f>'Fiscal Forecasts'!F$430</f>
        <v>-1.125</v>
      </c>
      <c r="G465" s="21">
        <f>'Fiscal Forecasts'!G$430</f>
        <v>-1.254</v>
      </c>
      <c r="H465" s="21">
        <f>'Fiscal Forecasts'!H$430</f>
        <v>-0.86</v>
      </c>
      <c r="I465" s="21">
        <f>'Fiscal Forecasts'!I$430</f>
        <v>-0.92600000000000005</v>
      </c>
      <c r="J465" s="21">
        <f>'Fiscal Forecasts'!J$430</f>
        <v>-1.242</v>
      </c>
      <c r="K465" s="21">
        <f>'Fiscal Forecasts'!K$430</f>
        <v>-1.022</v>
      </c>
      <c r="L465" s="21">
        <f>'Fiscal Forecasts'!L$430</f>
        <v>-0.34200000000000003</v>
      </c>
      <c r="M465" s="21">
        <f>'Fiscal Forecasts'!M$430</f>
        <v>-0.71599999999999997</v>
      </c>
      <c r="N465" s="21">
        <f>'Fiscal Forecasts'!N$430</f>
        <v>-0.56999999999999995</v>
      </c>
      <c r="O465" s="24">
        <f>'Fiscal Forecasts'!O$430</f>
        <v>-0.60899999999999999</v>
      </c>
      <c r="P465" s="24">
        <f>'Fiscal Forecasts'!P$430</f>
        <v>-0.56899999999999995</v>
      </c>
      <c r="Q465" s="24">
        <f>'Fiscal Forecasts'!Q$430</f>
        <v>-0.46100000000000002</v>
      </c>
      <c r="R465" s="24">
        <f>'Fiscal Forecasts'!R$430</f>
        <v>-0.38600000000000001</v>
      </c>
      <c r="S465" s="24">
        <f>'Fiscal Forecasts'!S$430</f>
        <v>-0.217</v>
      </c>
      <c r="T465" s="26">
        <f t="shared" ref="T465:AC465" ca="1" si="241">-(T$383-S$383-(T$380-S$380)-SUM(T$390,T$392,T$393))</f>
        <v>-0.59099050061495706</v>
      </c>
      <c r="U465" s="26">
        <f t="shared" ca="1" si="241"/>
        <v>-0.58118166078366484</v>
      </c>
      <c r="V465" s="26">
        <f t="shared" ca="1" si="241"/>
        <v>-0.58424630704618064</v>
      </c>
      <c r="W465" s="26">
        <f t="shared" ca="1" si="241"/>
        <v>-0.58823970854317753</v>
      </c>
      <c r="X465" s="26">
        <f t="shared" ca="1" si="241"/>
        <v>-0.59368106597110393</v>
      </c>
      <c r="Y465" s="26">
        <f t="shared" ca="1" si="241"/>
        <v>-0.59837307877155888</v>
      </c>
      <c r="Z465" s="26">
        <f t="shared" ca="1" si="241"/>
        <v>-0.62913507782131972</v>
      </c>
      <c r="AA465" s="26">
        <f t="shared" ca="1" si="241"/>
        <v>-0.65413849103202437</v>
      </c>
      <c r="AB465" s="26">
        <f t="shared" ca="1" si="241"/>
        <v>-0.67477825018433824</v>
      </c>
      <c r="AC465" s="26">
        <f t="shared" ca="1" si="241"/>
        <v>-0.69430349365589794</v>
      </c>
    </row>
    <row r="466" spans="1:29" x14ac:dyDescent="0.2">
      <c r="A466" s="3" t="s">
        <v>726</v>
      </c>
      <c r="B466" s="4" t="str">
        <f>$B$46</f>
        <v>From Fiscal Forecasts</v>
      </c>
      <c r="F466" s="21">
        <f>'Fiscal Forecasts'!F$431</f>
        <v>-0.86499999999999999</v>
      </c>
      <c r="G466" s="21">
        <f>'Fiscal Forecasts'!G$431</f>
        <v>-0.44400000000000001</v>
      </c>
      <c r="H466" s="21">
        <f>'Fiscal Forecasts'!H$431</f>
        <v>-1.944</v>
      </c>
      <c r="I466" s="21">
        <f>'Fiscal Forecasts'!I$431</f>
        <v>-1.0549999999999999</v>
      </c>
      <c r="J466" s="21">
        <f>'Fiscal Forecasts'!J$431</f>
        <v>-1.292</v>
      </c>
      <c r="K466" s="21">
        <f>'Fiscal Forecasts'!K$431</f>
        <v>-1.1499999999999999</v>
      </c>
      <c r="L466" s="21">
        <f>'Fiscal Forecasts'!L$431</f>
        <v>0.35499999999999998</v>
      </c>
      <c r="M466" s="21">
        <f>'Fiscal Forecasts'!M$431</f>
        <v>1.4600000000000002</v>
      </c>
      <c r="N466" s="21">
        <f>'Fiscal Forecasts'!N$431</f>
        <v>-0.89699999999999991</v>
      </c>
      <c r="O466" s="24">
        <f>'Fiscal Forecasts'!O$431</f>
        <v>-1.974</v>
      </c>
      <c r="P466" s="24">
        <f>'Fiscal Forecasts'!P$431</f>
        <v>-1.9830000000000001</v>
      </c>
      <c r="Q466" s="24">
        <f>'Fiscal Forecasts'!Q$431</f>
        <v>-1.546</v>
      </c>
      <c r="R466" s="24">
        <f>'Fiscal Forecasts'!R$431</f>
        <v>-1.5089999999999999</v>
      </c>
      <c r="S466" s="24">
        <f>'Fiscal Forecasts'!S$431</f>
        <v>-1.466</v>
      </c>
      <c r="T466" s="26">
        <f t="shared" ref="T466:AC466" ca="1" si="242">-(T$415-S$415-T$340)</f>
        <v>-1.3570841724406122</v>
      </c>
      <c r="U466" s="26">
        <f t="shared" ca="1" si="242"/>
        <v>-1.4172445160550142</v>
      </c>
      <c r="V466" s="26">
        <f t="shared" ca="1" si="242"/>
        <v>-1.4808652148729586</v>
      </c>
      <c r="W466" s="26">
        <f t="shared" ca="1" si="242"/>
        <v>-1.5468508486277179</v>
      </c>
      <c r="X466" s="26">
        <f t="shared" ca="1" si="242"/>
        <v>-1.6155578619816731</v>
      </c>
      <c r="Y466" s="26">
        <f t="shared" ca="1" si="242"/>
        <v>-1.6864862745218898</v>
      </c>
      <c r="Z466" s="26">
        <f t="shared" ca="1" si="242"/>
        <v>-1.7594916487003189</v>
      </c>
      <c r="AA466" s="26">
        <f t="shared" ca="1" si="242"/>
        <v>-1.8346253477621837</v>
      </c>
      <c r="AB466" s="26">
        <f t="shared" ca="1" si="242"/>
        <v>-1.9115972408487723</v>
      </c>
      <c r="AC466" s="26">
        <f t="shared" ca="1" si="242"/>
        <v>-1.9908084833567083</v>
      </c>
    </row>
    <row r="467" spans="1:29" x14ac:dyDescent="0.2">
      <c r="A467" s="3" t="s">
        <v>825</v>
      </c>
      <c r="F467" s="21">
        <f>-F$366</f>
        <v>-2.0490000000000004</v>
      </c>
      <c r="G467" s="21">
        <f t="shared" ref="G467:AC467" si="243">-G$366</f>
        <v>-2.1040000000000001</v>
      </c>
      <c r="H467" s="21">
        <f t="shared" si="243"/>
        <v>-2.2429999999999999</v>
      </c>
      <c r="I467" s="21">
        <f t="shared" si="243"/>
        <v>-0.25</v>
      </c>
      <c r="J467" s="21">
        <f t="shared" si="243"/>
        <v>0</v>
      </c>
      <c r="K467" s="21">
        <f t="shared" si="243"/>
        <v>0</v>
      </c>
      <c r="L467" s="21">
        <f t="shared" si="243"/>
        <v>0</v>
      </c>
      <c r="M467" s="21">
        <f t="shared" si="243"/>
        <v>0</v>
      </c>
      <c r="N467" s="21">
        <f t="shared" si="243"/>
        <v>0</v>
      </c>
      <c r="O467" s="24">
        <f t="shared" si="243"/>
        <v>0</v>
      </c>
      <c r="P467" s="24">
        <f t="shared" si="243"/>
        <v>0</v>
      </c>
      <c r="Q467" s="24">
        <f t="shared" si="243"/>
        <v>0</v>
      </c>
      <c r="R467" s="24">
        <f t="shared" si="243"/>
        <v>0</v>
      </c>
      <c r="S467" s="24">
        <f t="shared" si="243"/>
        <v>0</v>
      </c>
      <c r="T467" s="26">
        <f t="shared" si="243"/>
        <v>0</v>
      </c>
      <c r="U467" s="26">
        <f t="shared" si="243"/>
        <v>0</v>
      </c>
      <c r="V467" s="26">
        <f t="shared" si="243"/>
        <v>-2.7480000000000002</v>
      </c>
      <c r="W467" s="26">
        <f t="shared" si="243"/>
        <v>-2.5680000000000001</v>
      </c>
      <c r="X467" s="26">
        <f t="shared" si="243"/>
        <v>-2.37</v>
      </c>
      <c r="Y467" s="26">
        <f t="shared" si="243"/>
        <v>-2.12</v>
      </c>
      <c r="Z467" s="26">
        <f t="shared" si="243"/>
        <v>-1.825</v>
      </c>
      <c r="AA467" s="26">
        <f t="shared" si="243"/>
        <v>-1.52</v>
      </c>
      <c r="AB467" s="26">
        <f t="shared" si="243"/>
        <v>-1.212</v>
      </c>
      <c r="AC467" s="26">
        <f t="shared" si="243"/>
        <v>-0.94099999999999995</v>
      </c>
    </row>
    <row r="468" spans="1:29" x14ac:dyDescent="0.2">
      <c r="A468" s="31" t="s">
        <v>728</v>
      </c>
      <c r="F468" s="56">
        <f t="shared" ref="F468:AC468" si="244">SUM(F$464:F$467)-SUM(F$323-E$323,F$324-E$324)</f>
        <v>-5.7940000000000005</v>
      </c>
      <c r="G468" s="56">
        <f t="shared" si="244"/>
        <v>-5.2350000000000003</v>
      </c>
      <c r="H468" s="56">
        <f t="shared" si="244"/>
        <v>-6.6720000000000006</v>
      </c>
      <c r="I468" s="56">
        <f t="shared" si="244"/>
        <v>-4.0090000000000003</v>
      </c>
      <c r="J468" s="56">
        <f t="shared" si="244"/>
        <v>-4.0579999999999998</v>
      </c>
      <c r="K468" s="56">
        <f t="shared" si="244"/>
        <v>-3.4339999999999997</v>
      </c>
      <c r="L468" s="56">
        <f t="shared" si="244"/>
        <v>-1.2180000000000002</v>
      </c>
      <c r="M468" s="56">
        <f t="shared" si="244"/>
        <v>-1.123</v>
      </c>
      <c r="N468" s="56">
        <f t="shared" si="244"/>
        <v>-3.4219999999999997</v>
      </c>
      <c r="O468" s="57">
        <f t="shared" si="244"/>
        <v>-5.5129999999999999</v>
      </c>
      <c r="P468" s="57">
        <f t="shared" si="244"/>
        <v>-6.03</v>
      </c>
      <c r="Q468" s="57">
        <f t="shared" si="244"/>
        <v>-4.5979999999999999</v>
      </c>
      <c r="R468" s="57">
        <f t="shared" si="244"/>
        <v>-4.3230000000000004</v>
      </c>
      <c r="S468" s="57">
        <f t="shared" si="244"/>
        <v>-4.3119999999999994</v>
      </c>
      <c r="T468" s="58">
        <f t="shared" ca="1" si="244"/>
        <v>-4.8748056352590794</v>
      </c>
      <c r="U468" s="58">
        <f t="shared" ca="1" si="244"/>
        <v>-4.9535237238064882</v>
      </c>
      <c r="V468" s="58">
        <f t="shared" ca="1" si="244"/>
        <v>-7.8020385476855258</v>
      </c>
      <c r="W468" s="58">
        <f t="shared" ca="1" si="244"/>
        <v>-7.7162580265140104</v>
      </c>
      <c r="X468" s="58">
        <f t="shared" ca="1" si="244"/>
        <v>-7.6625609421817176</v>
      </c>
      <c r="Y468" s="58">
        <f t="shared" ca="1" si="244"/>
        <v>-7.5584315755743514</v>
      </c>
      <c r="Z468" s="58">
        <f t="shared" ca="1" si="244"/>
        <v>-7.4444990168183542</v>
      </c>
      <c r="AA468" s="58">
        <f t="shared" ca="1" si="244"/>
        <v>-7.3183800027001693</v>
      </c>
      <c r="AB468" s="58">
        <f t="shared" ca="1" si="244"/>
        <v>-7.1877680881560693</v>
      </c>
      <c r="AC468" s="58">
        <f t="shared" ca="1" si="244"/>
        <v>-7.0972002011377606</v>
      </c>
    </row>
    <row r="469" spans="1:29" x14ac:dyDescent="0.2">
      <c r="A469" s="31" t="s">
        <v>729</v>
      </c>
      <c r="F469" s="74">
        <f>SUM(F$463,F$468)</f>
        <v>2.7919999999999998</v>
      </c>
      <c r="G469" s="74">
        <f t="shared" ref="G469:AC469" si="245">SUM(G$463,G$468)</f>
        <v>2.0570000000000004</v>
      </c>
      <c r="H469" s="74">
        <f t="shared" si="245"/>
        <v>-8.6390000000000029</v>
      </c>
      <c r="I469" s="74">
        <f t="shared" si="245"/>
        <v>-8.9999999999999911</v>
      </c>
      <c r="J469" s="74">
        <f t="shared" si="245"/>
        <v>-13.342999999999996</v>
      </c>
      <c r="K469" s="74">
        <f t="shared" si="245"/>
        <v>-10.644</v>
      </c>
      <c r="L469" s="74">
        <f t="shared" si="245"/>
        <v>-5.7420000000000018</v>
      </c>
      <c r="M469" s="74">
        <f t="shared" si="245"/>
        <v>-4.1090000000000009</v>
      </c>
      <c r="N469" s="74">
        <f t="shared" si="245"/>
        <v>-1.8269999999999968</v>
      </c>
      <c r="O469" s="76">
        <f t="shared" si="245"/>
        <v>-5.3980000000000095</v>
      </c>
      <c r="P469" s="76">
        <f t="shared" si="245"/>
        <v>-4.6620000000000026</v>
      </c>
      <c r="Q469" s="76">
        <f t="shared" si="245"/>
        <v>-2.7789999999999941</v>
      </c>
      <c r="R469" s="76">
        <f t="shared" si="245"/>
        <v>0.52299999999998814</v>
      </c>
      <c r="S469" s="76">
        <f t="shared" si="245"/>
        <v>1.9300000000000068</v>
      </c>
      <c r="T469" s="75">
        <f t="shared" ca="1" si="245"/>
        <v>3.4529123219523878</v>
      </c>
      <c r="U469" s="75">
        <f t="shared" ca="1" si="245"/>
        <v>4.6704299849296289</v>
      </c>
      <c r="V469" s="75">
        <f t="shared" ca="1" si="245"/>
        <v>3.1040807384022395</v>
      </c>
      <c r="W469" s="75">
        <f t="shared" ca="1" si="245"/>
        <v>4.4166387699985972</v>
      </c>
      <c r="X469" s="75">
        <f t="shared" ca="1" si="245"/>
        <v>5.637897465296251</v>
      </c>
      <c r="Y469" s="75">
        <f t="shared" ca="1" si="245"/>
        <v>7.0195999023597313</v>
      </c>
      <c r="Z469" s="75">
        <f t="shared" ca="1" si="245"/>
        <v>8.5295642992235052</v>
      </c>
      <c r="AA469" s="75">
        <f t="shared" ca="1" si="245"/>
        <v>10.294034379609471</v>
      </c>
      <c r="AB469" s="75">
        <f t="shared" ca="1" si="245"/>
        <v>12.193591051330536</v>
      </c>
      <c r="AC469" s="75">
        <f t="shared" ca="1" si="245"/>
        <v>14.254411961611613</v>
      </c>
    </row>
    <row r="470" spans="1:29" x14ac:dyDescent="0.2">
      <c r="A470" s="81"/>
      <c r="F470" s="62"/>
      <c r="G470" s="62"/>
      <c r="H470" s="62"/>
      <c r="I470" s="62"/>
      <c r="J470" s="62"/>
      <c r="K470" s="62"/>
      <c r="L470" s="62"/>
      <c r="M470" s="62"/>
      <c r="N470" s="62"/>
      <c r="O470" s="70"/>
      <c r="P470" s="70"/>
      <c r="Q470" s="70"/>
      <c r="R470" s="70"/>
      <c r="S470" s="70"/>
      <c r="T470" s="70"/>
      <c r="U470" s="70"/>
      <c r="V470" s="70"/>
      <c r="W470" s="70"/>
      <c r="X470" s="70"/>
      <c r="Y470" s="70"/>
      <c r="Z470" s="70"/>
      <c r="AA470" s="70"/>
      <c r="AB470" s="70"/>
      <c r="AC470" s="70"/>
    </row>
    <row r="471" spans="1:29" x14ac:dyDescent="0.2">
      <c r="A471" s="3" t="s">
        <v>777</v>
      </c>
      <c r="B471" s="4" t="str">
        <f>$B$46</f>
        <v>From Fiscal Forecasts</v>
      </c>
      <c r="F471" s="21">
        <f>'Fiscal Forecasts'!F$436</f>
        <v>-4.9560000000000004</v>
      </c>
      <c r="G471" s="21">
        <f>'Fiscal Forecasts'!G$436</f>
        <v>-3.5950000000000002</v>
      </c>
      <c r="H471" s="21">
        <f>'Fiscal Forecasts'!H$436</f>
        <v>-0.51200000000000001</v>
      </c>
      <c r="I471" s="21">
        <f>'Fiscal Forecasts'!I$436</f>
        <v>2.0019999999999998</v>
      </c>
      <c r="J471" s="21">
        <f>'Fiscal Forecasts'!J$436</f>
        <v>-4.7910000000000004</v>
      </c>
      <c r="K471" s="21">
        <f>'Fiscal Forecasts'!K$436</f>
        <v>2.27</v>
      </c>
      <c r="L471" s="21">
        <f>'Fiscal Forecasts'!L$436</f>
        <v>5.6989999999999998</v>
      </c>
      <c r="M471" s="21">
        <f>'Fiscal Forecasts'!M$436</f>
        <v>-1.51</v>
      </c>
      <c r="N471" s="21">
        <f>'Fiscal Forecasts'!N$436</f>
        <v>0.79500000000000004</v>
      </c>
      <c r="O471" s="24">
        <f>'Fiscal Forecasts'!O$436</f>
        <v>3.008</v>
      </c>
      <c r="P471" s="24">
        <f>'Fiscal Forecasts'!P$436</f>
        <v>-4.359</v>
      </c>
      <c r="Q471" s="24">
        <f>'Fiscal Forecasts'!Q$436</f>
        <v>5.2480000000000002</v>
      </c>
      <c r="R471" s="24">
        <f>'Fiscal Forecasts'!R$436</f>
        <v>2.1880000000000002</v>
      </c>
      <c r="S471" s="24">
        <f>'Fiscal Forecasts'!S$436</f>
        <v>-3.222</v>
      </c>
      <c r="T471" s="26">
        <f t="shared" ref="T471:AC471" ca="1" si="246">-(T$355-S$355-(T$370-SUM(T$343,T$348,T$380)-(S$370-SUM(S$343,S$348,S$380)))-(T$327-T$365)-(T$162-T$392-T$362-T$458))</f>
        <v>-1.0448292121664204</v>
      </c>
      <c r="U471" s="26">
        <f t="shared" ca="1" si="246"/>
        <v>-1.1009665853383501</v>
      </c>
      <c r="V471" s="26">
        <f t="shared" ca="1" si="246"/>
        <v>-1.1702674644280155</v>
      </c>
      <c r="W471" s="26">
        <f t="shared" ca="1" si="246"/>
        <v>-1.215903174212607</v>
      </c>
      <c r="X471" s="26">
        <f t="shared" ca="1" si="246"/>
        <v>-1.2671537913985942</v>
      </c>
      <c r="Y471" s="26">
        <f t="shared" ca="1" si="246"/>
        <v>-1.3105672623627593</v>
      </c>
      <c r="Z471" s="26">
        <f t="shared" ca="1" si="246"/>
        <v>-1.3518142232805781</v>
      </c>
      <c r="AA471" s="26">
        <f t="shared" ca="1" si="246"/>
        <v>-1.3941204584861402</v>
      </c>
      <c r="AB471" s="26">
        <f t="shared" ca="1" si="246"/>
        <v>-1.4321274882262971</v>
      </c>
      <c r="AC471" s="26">
        <f t="shared" ca="1" si="246"/>
        <v>-1.4766598583541732</v>
      </c>
    </row>
    <row r="472" spans="1:29" x14ac:dyDescent="0.2">
      <c r="A472" s="3" t="s">
        <v>277</v>
      </c>
      <c r="F472" s="21">
        <f>F$112</f>
        <v>8.1000000000000003E-2</v>
      </c>
      <c r="G472" s="21">
        <f t="shared" ref="G472:AC472" si="247">G$112</f>
        <v>8.5999999999999993E-2</v>
      </c>
      <c r="H472" s="21">
        <f t="shared" si="247"/>
        <v>0.47499999999999998</v>
      </c>
      <c r="I472" s="21">
        <f t="shared" si="247"/>
        <v>1.4999999999999999E-2</v>
      </c>
      <c r="J472" s="21">
        <f t="shared" si="247"/>
        <v>0.23400000000000001</v>
      </c>
      <c r="K472" s="21">
        <f t="shared" si="247"/>
        <v>0.20300000000000029</v>
      </c>
      <c r="L472" s="21">
        <f t="shared" si="247"/>
        <v>0.23400000000000001</v>
      </c>
      <c r="M472" s="21">
        <f t="shared" si="247"/>
        <v>0.27400000000000002</v>
      </c>
      <c r="N472" s="21">
        <f t="shared" si="247"/>
        <v>0.372</v>
      </c>
      <c r="O472" s="24">
        <f t="shared" si="247"/>
        <v>0.214</v>
      </c>
      <c r="P472" s="24">
        <f t="shared" si="247"/>
        <v>0.16300000000000001</v>
      </c>
      <c r="Q472" s="24">
        <f t="shared" si="247"/>
        <v>0.17</v>
      </c>
      <c r="R472" s="24">
        <f t="shared" si="247"/>
        <v>0.17399999999999999</v>
      </c>
      <c r="S472" s="24">
        <f t="shared" si="247"/>
        <v>0.18</v>
      </c>
      <c r="T472" s="26">
        <f t="shared" ca="1" si="247"/>
        <v>0.27744583944558165</v>
      </c>
      <c r="U472" s="26">
        <f t="shared" ca="1" si="247"/>
        <v>0.28923254103590601</v>
      </c>
      <c r="V472" s="26">
        <f t="shared" ca="1" si="247"/>
        <v>0.3058688710213211</v>
      </c>
      <c r="W472" s="26">
        <f t="shared" ca="1" si="247"/>
        <v>0.31723875523519585</v>
      </c>
      <c r="X472" s="26">
        <f t="shared" ca="1" si="247"/>
        <v>0.33032231642033061</v>
      </c>
      <c r="Y472" s="26">
        <f t="shared" ca="1" si="247"/>
        <v>0.34100212462447832</v>
      </c>
      <c r="Z472" s="26">
        <f t="shared" ca="1" si="247"/>
        <v>0.35098752125224131</v>
      </c>
      <c r="AA472" s="26">
        <f t="shared" ca="1" si="247"/>
        <v>0.36121985666131273</v>
      </c>
      <c r="AB472" s="26">
        <f t="shared" ca="1" si="247"/>
        <v>0.37005733159491605</v>
      </c>
      <c r="AC472" s="26">
        <f t="shared" ca="1" si="247"/>
        <v>0.38082343904192051</v>
      </c>
    </row>
    <row r="473" spans="1:29" x14ac:dyDescent="0.2">
      <c r="A473" s="3" t="s">
        <v>692</v>
      </c>
      <c r="B473" s="4" t="str">
        <f>$B$46</f>
        <v>From Fiscal Forecasts</v>
      </c>
      <c r="F473" s="21">
        <f>'Fiscal Forecasts'!F$437</f>
        <v>-0.47799999999999998</v>
      </c>
      <c r="G473" s="21">
        <f>'Fiscal Forecasts'!G$437</f>
        <v>0.249</v>
      </c>
      <c r="H473" s="21">
        <f>'Fiscal Forecasts'!H$437</f>
        <v>-1.7609999999999999</v>
      </c>
      <c r="I473" s="21">
        <f>'Fiscal Forecasts'!I$437</f>
        <v>-0.81699999999999995</v>
      </c>
      <c r="J473" s="21">
        <f>'Fiscal Forecasts'!J$437</f>
        <v>-0.86099999999999999</v>
      </c>
      <c r="K473" s="21">
        <f>'Fiscal Forecasts'!K$437</f>
        <v>-0.29099999999999998</v>
      </c>
      <c r="L473" s="21">
        <f>'Fiscal Forecasts'!L$437</f>
        <v>-1.3109999999999999</v>
      </c>
      <c r="M473" s="21">
        <f>'Fiscal Forecasts'!M$437</f>
        <v>0.35099999999999998</v>
      </c>
      <c r="N473" s="21">
        <f>'Fiscal Forecasts'!N$437</f>
        <v>-2.3809999999999998</v>
      </c>
      <c r="O473" s="24">
        <f>'Fiscal Forecasts'!O$437</f>
        <v>-5.7000000000000002E-2</v>
      </c>
      <c r="P473" s="24">
        <f>'Fiscal Forecasts'!P$437</f>
        <v>-4.0000000000000001E-3</v>
      </c>
      <c r="Q473" s="24">
        <f>'Fiscal Forecasts'!Q$437</f>
        <v>-4.0000000000000001E-3</v>
      </c>
      <c r="R473" s="24">
        <f>'Fiscal Forecasts'!R$437</f>
        <v>-6.0000000000000001E-3</v>
      </c>
      <c r="S473" s="24">
        <f>'Fiscal Forecasts'!S$437</f>
        <v>-5.0000000000000001E-3</v>
      </c>
      <c r="T473" s="26">
        <f t="shared" ref="T473:AC473" ca="1" si="248">-(T$345-S$345-(T$343-S$343))</f>
        <v>-0.45501172541313917</v>
      </c>
      <c r="U473" s="26">
        <f t="shared" ca="1" si="248"/>
        <v>-0.45554319505217666</v>
      </c>
      <c r="V473" s="26">
        <f t="shared" ca="1" si="248"/>
        <v>-0.45964194749616549</v>
      </c>
      <c r="W473" s="26">
        <f t="shared" ca="1" si="248"/>
        <v>-0.45431603317586422</v>
      </c>
      <c r="X473" s="26">
        <f t="shared" ca="1" si="248"/>
        <v>-0.44804845832317142</v>
      </c>
      <c r="Y473" s="26">
        <f t="shared" ca="1" si="248"/>
        <v>-0.43534105835932468</v>
      </c>
      <c r="Z473" s="26">
        <f t="shared" ca="1" si="248"/>
        <v>-0.44808893534354244</v>
      </c>
      <c r="AA473" s="26">
        <f t="shared" ca="1" si="248"/>
        <v>-0.46115206722688917</v>
      </c>
      <c r="AB473" s="26">
        <f t="shared" ca="1" si="248"/>
        <v>-0.4724344476374398</v>
      </c>
      <c r="AC473" s="26">
        <f t="shared" ca="1" si="248"/>
        <v>-0.48617902068240859</v>
      </c>
    </row>
    <row r="474" spans="1:29" x14ac:dyDescent="0.2">
      <c r="A474" s="31" t="s">
        <v>730</v>
      </c>
      <c r="F474" s="56">
        <f>SUM(F$471:F$473)</f>
        <v>-5.3529999999999998</v>
      </c>
      <c r="G474" s="56">
        <f t="shared" ref="G474:AC474" si="249">SUM(G$471:G$473)</f>
        <v>-3.2600000000000002</v>
      </c>
      <c r="H474" s="56">
        <f t="shared" si="249"/>
        <v>-1.798</v>
      </c>
      <c r="I474" s="56">
        <f t="shared" si="249"/>
        <v>1.2</v>
      </c>
      <c r="J474" s="56">
        <f t="shared" si="249"/>
        <v>-5.4180000000000001</v>
      </c>
      <c r="K474" s="56">
        <f t="shared" si="249"/>
        <v>2.1820000000000004</v>
      </c>
      <c r="L474" s="56">
        <f t="shared" si="249"/>
        <v>4.6219999999999999</v>
      </c>
      <c r="M474" s="56">
        <f t="shared" si="249"/>
        <v>-0.88500000000000001</v>
      </c>
      <c r="N474" s="56">
        <f t="shared" si="249"/>
        <v>-1.2139999999999997</v>
      </c>
      <c r="O474" s="57">
        <f t="shared" si="249"/>
        <v>3.165</v>
      </c>
      <c r="P474" s="57">
        <f t="shared" si="249"/>
        <v>-4.1999999999999993</v>
      </c>
      <c r="Q474" s="57">
        <f t="shared" si="249"/>
        <v>5.4140000000000006</v>
      </c>
      <c r="R474" s="57">
        <f t="shared" si="249"/>
        <v>2.3560000000000003</v>
      </c>
      <c r="S474" s="57">
        <f t="shared" si="249"/>
        <v>-3.0469999999999997</v>
      </c>
      <c r="T474" s="58">
        <f t="shared" ca="1" si="249"/>
        <v>-1.222395098133978</v>
      </c>
      <c r="U474" s="58">
        <f t="shared" ca="1" si="249"/>
        <v>-1.2672772393546208</v>
      </c>
      <c r="V474" s="58">
        <f t="shared" ca="1" si="249"/>
        <v>-1.3240405409028599</v>
      </c>
      <c r="W474" s="58">
        <f t="shared" ca="1" si="249"/>
        <v>-1.3529804521532753</v>
      </c>
      <c r="X474" s="58">
        <f t="shared" ca="1" si="249"/>
        <v>-1.384879933301435</v>
      </c>
      <c r="Y474" s="58">
        <f t="shared" ca="1" si="249"/>
        <v>-1.4049061960976057</v>
      </c>
      <c r="Z474" s="58">
        <f t="shared" ca="1" si="249"/>
        <v>-1.4489156373718792</v>
      </c>
      <c r="AA474" s="58">
        <f t="shared" ca="1" si="249"/>
        <v>-1.4940526690517166</v>
      </c>
      <c r="AB474" s="58">
        <f t="shared" ca="1" si="249"/>
        <v>-1.5345046042688208</v>
      </c>
      <c r="AC474" s="58">
        <f t="shared" ca="1" si="249"/>
        <v>-1.5820154399946613</v>
      </c>
    </row>
    <row r="475" spans="1:29" x14ac:dyDescent="0.2">
      <c r="A475" s="31" t="s">
        <v>690</v>
      </c>
      <c r="B475" s="4" t="str">
        <f>$B$46</f>
        <v>From Fiscal Forecasts</v>
      </c>
      <c r="F475" s="23">
        <f>'Fiscal Forecasts'!F$435</f>
        <v>2.5609999999999999</v>
      </c>
      <c r="G475" s="23">
        <f>'Fiscal Forecasts'!G$435</f>
        <v>1.2029999999999998</v>
      </c>
      <c r="H475" s="23">
        <f>'Fiscal Forecasts'!H$435</f>
        <v>10.437000000000001</v>
      </c>
      <c r="I475" s="23">
        <f>'Fiscal Forecasts'!I$435</f>
        <v>7.7999999999999989</v>
      </c>
      <c r="J475" s="23">
        <f>'Fiscal Forecasts'!J$435</f>
        <v>18.761000000000003</v>
      </c>
      <c r="K475" s="23">
        <f>'Fiscal Forecasts'!K$435</f>
        <v>8.4619999999999997</v>
      </c>
      <c r="L475" s="23">
        <f>'Fiscal Forecasts'!L$435</f>
        <v>1.1200000000000001</v>
      </c>
      <c r="M475" s="23">
        <f>'Fiscal Forecasts'!M$435</f>
        <v>4.9939999999999998</v>
      </c>
      <c r="N475" s="23">
        <f>'Fiscal Forecasts'!N$435</f>
        <v>3.0409999999999999</v>
      </c>
      <c r="O475" s="25">
        <f>'Fiscal Forecasts'!O$435</f>
        <v>2.2330000000000001</v>
      </c>
      <c r="P475" s="25">
        <f>'Fiscal Forecasts'!P$435</f>
        <v>8.8620000000000001</v>
      </c>
      <c r="Q475" s="25">
        <f>'Fiscal Forecasts'!Q$435</f>
        <v>-2.6349999999999998</v>
      </c>
      <c r="R475" s="25">
        <f>'Fiscal Forecasts'!R$435</f>
        <v>-2.879</v>
      </c>
      <c r="S475" s="25">
        <f>'Fiscal Forecasts'!S$435</f>
        <v>1.117</v>
      </c>
      <c r="T475" s="11">
        <f t="shared" ref="T475:AC475" ca="1" si="250">-SUM(T$463,T$468,T$474)</f>
        <v>-2.2305172238184099</v>
      </c>
      <c r="U475" s="11">
        <f t="shared" ca="1" si="250"/>
        <v>-3.4031527455750084</v>
      </c>
      <c r="V475" s="11">
        <f t="shared" ca="1" si="250"/>
        <v>-1.7800401974993796</v>
      </c>
      <c r="W475" s="11">
        <f t="shared" ca="1" si="250"/>
        <v>-3.0636583178453218</v>
      </c>
      <c r="X475" s="11">
        <f t="shared" ca="1" si="250"/>
        <v>-4.253017531994816</v>
      </c>
      <c r="Y475" s="11">
        <f t="shared" ca="1" si="250"/>
        <v>-5.6146937062621252</v>
      </c>
      <c r="Z475" s="11">
        <f t="shared" ca="1" si="250"/>
        <v>-7.080648661851626</v>
      </c>
      <c r="AA475" s="11">
        <f t="shared" ca="1" si="250"/>
        <v>-8.7999817105577538</v>
      </c>
      <c r="AB475" s="11">
        <f t="shared" ca="1" si="250"/>
        <v>-10.659086447061714</v>
      </c>
      <c r="AC475" s="11">
        <f t="shared" ca="1" si="250"/>
        <v>-12.672396521616951</v>
      </c>
    </row>
    <row r="476" spans="1:29" x14ac:dyDescent="0.2">
      <c r="A476" s="81" t="s">
        <v>850</v>
      </c>
      <c r="F476" s="7" t="str">
        <f t="shared" ref="F476:AC476" si="251">IF(ROUND(F$469+SUM(F$474,F$475),3)=0,"OK","ERROR")</f>
        <v>OK</v>
      </c>
      <c r="G476" s="7" t="str">
        <f t="shared" si="251"/>
        <v>OK</v>
      </c>
      <c r="H476" s="7" t="str">
        <f t="shared" si="251"/>
        <v>OK</v>
      </c>
      <c r="I476" s="7" t="str">
        <f t="shared" si="251"/>
        <v>OK</v>
      </c>
      <c r="J476" s="7" t="str">
        <f t="shared" si="251"/>
        <v>OK</v>
      </c>
      <c r="K476" s="7" t="str">
        <f t="shared" si="251"/>
        <v>OK</v>
      </c>
      <c r="L476" s="7" t="str">
        <f t="shared" si="251"/>
        <v>OK</v>
      </c>
      <c r="M476" s="7" t="str">
        <f t="shared" si="251"/>
        <v>OK</v>
      </c>
      <c r="N476" s="7" t="str">
        <f t="shared" si="251"/>
        <v>OK</v>
      </c>
      <c r="O476" s="7" t="str">
        <f t="shared" si="251"/>
        <v>OK</v>
      </c>
      <c r="P476" s="7" t="str">
        <f t="shared" si="251"/>
        <v>OK</v>
      </c>
      <c r="Q476" s="7" t="str">
        <f t="shared" si="251"/>
        <v>OK</v>
      </c>
      <c r="R476" s="7" t="str">
        <f t="shared" si="251"/>
        <v>OK</v>
      </c>
      <c r="S476" s="7" t="str">
        <f t="shared" si="251"/>
        <v>OK</v>
      </c>
      <c r="T476" s="7" t="str">
        <f t="shared" ca="1" si="251"/>
        <v>OK</v>
      </c>
      <c r="U476" s="7" t="str">
        <f t="shared" ca="1" si="251"/>
        <v>OK</v>
      </c>
      <c r="V476" s="7" t="str">
        <f t="shared" ca="1" si="251"/>
        <v>OK</v>
      </c>
      <c r="W476" s="7" t="str">
        <f t="shared" ca="1" si="251"/>
        <v>OK</v>
      </c>
      <c r="X476" s="7" t="str">
        <f t="shared" ca="1" si="251"/>
        <v>OK</v>
      </c>
      <c r="Y476" s="7" t="str">
        <f t="shared" ca="1" si="251"/>
        <v>OK</v>
      </c>
      <c r="Z476" s="7" t="str">
        <f t="shared" ca="1" si="251"/>
        <v>OK</v>
      </c>
      <c r="AA476" s="7" t="str">
        <f t="shared" ca="1" si="251"/>
        <v>OK</v>
      </c>
      <c r="AB476" s="7" t="str">
        <f t="shared" ca="1" si="251"/>
        <v>OK</v>
      </c>
      <c r="AC476" s="7" t="str">
        <f t="shared" ca="1" si="251"/>
        <v>OK</v>
      </c>
    </row>
    <row r="477" spans="1:29" x14ac:dyDescent="0.2">
      <c r="A477" s="81" t="s">
        <v>851</v>
      </c>
      <c r="F477" s="62"/>
      <c r="G477" s="62"/>
      <c r="H477" s="62"/>
      <c r="I477" s="62"/>
      <c r="J477" s="62"/>
      <c r="K477" s="62"/>
      <c r="L477" s="62"/>
      <c r="M477" s="70"/>
      <c r="N477" s="70"/>
      <c r="O477" s="70"/>
      <c r="P477" s="70"/>
      <c r="Q477" s="70"/>
      <c r="R477" s="70"/>
      <c r="S477" s="70"/>
      <c r="T477" s="7" t="str">
        <f t="shared" ref="T477:AC477" ca="1" si="252">IF(ROUND(T$469+(T$92-S$92+T$424-S$424+(T$162-T$392-T$362-T$458)-(T$223-(-T$462))+T$327-T$365),3)=0,"OK","ERROR")</f>
        <v>OK</v>
      </c>
      <c r="U477" s="7" t="str">
        <f t="shared" ca="1" si="252"/>
        <v>OK</v>
      </c>
      <c r="V477" s="7" t="str">
        <f t="shared" ca="1" si="252"/>
        <v>OK</v>
      </c>
      <c r="W477" s="7" t="str">
        <f t="shared" ca="1" si="252"/>
        <v>OK</v>
      </c>
      <c r="X477" s="7" t="str">
        <f t="shared" ca="1" si="252"/>
        <v>OK</v>
      </c>
      <c r="Y477" s="7" t="str">
        <f t="shared" ca="1" si="252"/>
        <v>OK</v>
      </c>
      <c r="Z477" s="7" t="str">
        <f t="shared" ca="1" si="252"/>
        <v>OK</v>
      </c>
      <c r="AA477" s="7" t="str">
        <f t="shared" ca="1" si="252"/>
        <v>OK</v>
      </c>
      <c r="AB477" s="7" t="str">
        <f t="shared" ca="1" si="252"/>
        <v>OK</v>
      </c>
      <c r="AC477" s="7" t="str">
        <f t="shared" ca="1" si="252"/>
        <v>OK</v>
      </c>
    </row>
    <row r="478" spans="1:29" x14ac:dyDescent="0.2">
      <c r="A478" s="31"/>
      <c r="F478" s="62"/>
      <c r="G478" s="62"/>
      <c r="H478" s="62"/>
      <c r="I478" s="62"/>
      <c r="J478" s="62"/>
      <c r="K478" s="62"/>
      <c r="L478" s="62"/>
      <c r="M478" s="70"/>
      <c r="N478" s="70"/>
      <c r="O478" s="70"/>
      <c r="P478" s="70"/>
      <c r="Q478" s="70"/>
      <c r="R478" s="63"/>
      <c r="S478" s="63"/>
      <c r="T478" s="63"/>
      <c r="U478" s="63"/>
      <c r="V478" s="63"/>
      <c r="W478" s="63"/>
      <c r="X478" s="63"/>
      <c r="Y478" s="63"/>
      <c r="Z478" s="63"/>
      <c r="AA478" s="63"/>
      <c r="AB478" s="63"/>
      <c r="AC478" s="63"/>
    </row>
    <row r="479" spans="1:29" ht="15.75" x14ac:dyDescent="0.25">
      <c r="A479" s="1" t="s">
        <v>776</v>
      </c>
      <c r="B479" s="4" t="str">
        <f>$B$73</f>
        <v>Projected Years only</v>
      </c>
      <c r="F479" s="7"/>
      <c r="G479" s="7"/>
      <c r="H479" s="7"/>
      <c r="I479" s="7"/>
      <c r="J479" s="7"/>
      <c r="K479" s="7"/>
      <c r="L479" s="7"/>
      <c r="M479" s="7"/>
      <c r="N479" s="7"/>
      <c r="O479" s="7"/>
      <c r="P479" s="7"/>
      <c r="Q479" s="7"/>
      <c r="R479" s="70"/>
    </row>
    <row r="480" spans="1:29" x14ac:dyDescent="0.2">
      <c r="A480" s="3" t="s">
        <v>826</v>
      </c>
      <c r="F480" s="7"/>
      <c r="G480" s="7"/>
      <c r="H480" s="7"/>
      <c r="I480" s="7"/>
      <c r="J480" s="7"/>
      <c r="K480" s="7"/>
      <c r="L480" s="7"/>
      <c r="M480" s="7"/>
      <c r="N480" s="7"/>
      <c r="O480" s="7"/>
      <c r="P480" s="7"/>
      <c r="Q480" s="7"/>
      <c r="R480" s="70"/>
      <c r="T480" s="26">
        <f t="shared" ref="T480:AC480" ca="1" si="253">SUM(T$456-T$363,T$457,T$458+T$362-(T$348-S$348),T$459)-SUM(-T$460,-T$461+T$364-(T$427-S$427),-T$462,T$241,T$243)</f>
        <v>8.2567917251930822</v>
      </c>
      <c r="U480" s="26">
        <f t="shared" ca="1" si="253"/>
        <v>9.6388824164608025</v>
      </c>
      <c r="V480" s="26">
        <f t="shared" ca="1" si="253"/>
        <v>10.845923126698892</v>
      </c>
      <c r="W480" s="26">
        <f t="shared" ca="1" si="253"/>
        <v>12.07968587830851</v>
      </c>
      <c r="X480" s="26">
        <f t="shared" ca="1" si="253"/>
        <v>13.254783033403356</v>
      </c>
      <c r="Y480" s="26">
        <f t="shared" ca="1" si="253"/>
        <v>14.541381858650269</v>
      </c>
      <c r="Z480" s="26">
        <f t="shared" ca="1" si="253"/>
        <v>15.947718628786575</v>
      </c>
      <c r="AA480" s="26">
        <f t="shared" ca="1" si="253"/>
        <v>17.596667277167384</v>
      </c>
      <c r="AB480" s="26">
        <f t="shared" ca="1" si="253"/>
        <v>19.376305124341386</v>
      </c>
      <c r="AC480" s="26">
        <f t="shared" ca="1" si="253"/>
        <v>21.356236163270339</v>
      </c>
    </row>
    <row r="481" spans="1:29" x14ac:dyDescent="0.2">
      <c r="A481" s="3" t="s">
        <v>852</v>
      </c>
      <c r="F481" s="7"/>
      <c r="G481" s="7"/>
      <c r="H481" s="7"/>
      <c r="I481" s="7"/>
      <c r="J481" s="7"/>
      <c r="K481" s="7"/>
      <c r="L481" s="7"/>
      <c r="M481" s="7"/>
      <c r="N481" s="7"/>
      <c r="O481" s="7"/>
      <c r="P481" s="7"/>
      <c r="Q481" s="7"/>
      <c r="R481" s="70"/>
      <c r="T481" s="26">
        <f t="shared" ref="T481:AC481" ca="1" si="254">T$464-(T$372-S$372)+T$465-(T$380-S$380)+T$466+T$471-(T$370-SUM(T$343,T$348,T$380)-(S$370-SUM(S$343,S$348,S$380)))+T$365-SUM(T$323-S$323,T$324-S$324)</f>
        <v>-6.4341984236339016</v>
      </c>
      <c r="U481" s="26">
        <f t="shared" ca="1" si="254"/>
        <v>-5.9990319701034149</v>
      </c>
      <c r="V481" s="26">
        <f t="shared" ca="1" si="254"/>
        <v>-8.7544800768690703</v>
      </c>
      <c r="W481" s="26">
        <f t="shared" ca="1" si="254"/>
        <v>-8.7173017079529149</v>
      </c>
      <c r="X481" s="26">
        <f t="shared" ca="1" si="254"/>
        <v>-8.718668951212635</v>
      </c>
      <c r="Y481" s="26">
        <f t="shared" ca="1" si="254"/>
        <v>-8.6645842577139227</v>
      </c>
      <c r="Z481" s="26">
        <f t="shared" ca="1" si="254"/>
        <v>-8.6010068153087111</v>
      </c>
      <c r="AA481" s="26">
        <f t="shared" ca="1" si="254"/>
        <v>-8.5268214637214328</v>
      </c>
      <c r="AB481" s="26">
        <f t="shared" ca="1" si="254"/>
        <v>-8.4439711354757954</v>
      </c>
      <c r="AC481" s="26">
        <f t="shared" ca="1" si="254"/>
        <v>-8.4055172567570899</v>
      </c>
    </row>
    <row r="482" spans="1:29" x14ac:dyDescent="0.2">
      <c r="A482" s="3" t="s">
        <v>277</v>
      </c>
      <c r="F482" s="7"/>
      <c r="G482" s="7"/>
      <c r="H482" s="7"/>
      <c r="I482" s="7"/>
      <c r="J482" s="7"/>
      <c r="K482" s="7"/>
      <c r="L482" s="7"/>
      <c r="M482" s="7"/>
      <c r="N482" s="7"/>
      <c r="O482" s="7"/>
      <c r="P482" s="7"/>
      <c r="Q482" s="7"/>
      <c r="R482" s="70"/>
      <c r="T482" s="26">
        <f t="shared" ref="T482:AC482" ca="1" si="255">T$112</f>
        <v>0.27744583944558165</v>
      </c>
      <c r="U482" s="26">
        <f t="shared" ca="1" si="255"/>
        <v>0.28923254103590601</v>
      </c>
      <c r="V482" s="26">
        <f t="shared" ca="1" si="255"/>
        <v>0.3058688710213211</v>
      </c>
      <c r="W482" s="26">
        <f t="shared" ca="1" si="255"/>
        <v>0.31723875523519585</v>
      </c>
      <c r="X482" s="26">
        <f t="shared" ca="1" si="255"/>
        <v>0.33032231642033061</v>
      </c>
      <c r="Y482" s="26">
        <f t="shared" ca="1" si="255"/>
        <v>0.34100212462447832</v>
      </c>
      <c r="Z482" s="26">
        <f t="shared" ca="1" si="255"/>
        <v>0.35098752125224131</v>
      </c>
      <c r="AA482" s="26">
        <f t="shared" ca="1" si="255"/>
        <v>0.36121985666131273</v>
      </c>
      <c r="AB482" s="26">
        <f t="shared" ca="1" si="255"/>
        <v>0.37005733159491605</v>
      </c>
      <c r="AC482" s="26">
        <f t="shared" ca="1" si="255"/>
        <v>0.38082343904192051</v>
      </c>
    </row>
    <row r="483" spans="1:29" x14ac:dyDescent="0.2">
      <c r="A483" s="3" t="s">
        <v>853</v>
      </c>
      <c r="R483" s="70"/>
      <c r="T483" s="26">
        <f t="shared" ref="T483:AC483" ca="1" si="256">T$345-S$345-SUM(T$480:T$482)</f>
        <v>-1.8141120732570464</v>
      </c>
      <c r="U483" s="26">
        <f t="shared" ca="1" si="256"/>
        <v>-3.1900099088245035</v>
      </c>
      <c r="V483" s="26">
        <f t="shared" ca="1" si="256"/>
        <v>-1.3027129174693943</v>
      </c>
      <c r="W483" s="26">
        <f t="shared" ca="1" si="256"/>
        <v>-2.5741614952987542</v>
      </c>
      <c r="X483" s="26">
        <f t="shared" ca="1" si="256"/>
        <v>-3.752250422738225</v>
      </c>
      <c r="Y483" s="26">
        <f t="shared" ca="1" si="256"/>
        <v>-5.1066755221667472</v>
      </c>
      <c r="Z483" s="26">
        <f t="shared" ca="1" si="256"/>
        <v>-6.5690064535890915</v>
      </c>
      <c r="AA483" s="26">
        <f t="shared" ca="1" si="256"/>
        <v>-8.285401723924954</v>
      </c>
      <c r="AB483" s="26">
        <f t="shared" ca="1" si="256"/>
        <v>-10.141664436381673</v>
      </c>
      <c r="AC483" s="26">
        <f t="shared" ca="1" si="256"/>
        <v>-12.148626356459824</v>
      </c>
    </row>
    <row r="484" spans="1:29" x14ac:dyDescent="0.2">
      <c r="A484" s="31" t="s">
        <v>779</v>
      </c>
      <c r="R484" s="70"/>
      <c r="T484" s="58">
        <f t="shared" ref="T484:AC484" ca="1" si="257">SUM(T$480:T$483)</f>
        <v>0.28592706774771592</v>
      </c>
      <c r="U484" s="58">
        <f t="shared" ca="1" si="257"/>
        <v>0.73907307856879001</v>
      </c>
      <c r="V484" s="58">
        <f t="shared" ca="1" si="257"/>
        <v>1.0945990033817488</v>
      </c>
      <c r="W484" s="58">
        <f t="shared" ca="1" si="257"/>
        <v>1.1054614302920367</v>
      </c>
      <c r="X484" s="58">
        <f t="shared" ca="1" si="257"/>
        <v>1.114185975872827</v>
      </c>
      <c r="Y484" s="58">
        <f t="shared" ca="1" si="257"/>
        <v>1.1111242033940769</v>
      </c>
      <c r="Z484" s="58">
        <f t="shared" ca="1" si="257"/>
        <v>1.1286928811410135</v>
      </c>
      <c r="AA484" s="58">
        <f t="shared" ca="1" si="257"/>
        <v>1.1456639461823102</v>
      </c>
      <c r="AB484" s="58">
        <f t="shared" ca="1" si="257"/>
        <v>1.1607268840788336</v>
      </c>
      <c r="AC484" s="58">
        <f t="shared" ca="1" si="257"/>
        <v>1.1829159890953456</v>
      </c>
    </row>
    <row r="485" spans="1:29" x14ac:dyDescent="0.2">
      <c r="A485" s="31" t="s">
        <v>717</v>
      </c>
      <c r="B485" s="4" t="str">
        <f>$B$73</f>
        <v>Projected Years only</v>
      </c>
      <c r="Q485" s="26"/>
      <c r="R485" s="70"/>
      <c r="T485" s="26"/>
      <c r="U485" s="26"/>
      <c r="V485" s="26"/>
      <c r="W485" s="26"/>
      <c r="X485" s="26"/>
      <c r="Y485" s="26"/>
      <c r="Z485" s="26"/>
      <c r="AA485" s="26"/>
      <c r="AB485" s="26"/>
      <c r="AC485" s="26"/>
    </row>
    <row r="486" spans="1:29" x14ac:dyDescent="0.2">
      <c r="A486" s="31" t="s">
        <v>718</v>
      </c>
      <c r="R486" s="70"/>
      <c r="T486" s="11">
        <f t="shared" ref="T486:AC486" ca="1" si="258">SUM(T$480,T$327,T$338)</f>
        <v>10.521392387419125</v>
      </c>
      <c r="U486" s="11">
        <f t="shared" ca="1" si="258"/>
        <v>12.093191122340055</v>
      </c>
      <c r="V486" s="11">
        <f t="shared" ca="1" si="258"/>
        <v>13.560217272964467</v>
      </c>
      <c r="W486" s="11">
        <f t="shared" ca="1" si="258"/>
        <v>15.106851401263542</v>
      </c>
      <c r="X486" s="11">
        <f t="shared" ca="1" si="258"/>
        <v>16.602508065736757</v>
      </c>
      <c r="Y486" s="11">
        <f t="shared" ca="1" si="258"/>
        <v>18.215797190762807</v>
      </c>
      <c r="Z486" s="11">
        <f t="shared" ca="1" si="258"/>
        <v>19.952501670915268</v>
      </c>
      <c r="AA486" s="11">
        <f t="shared" ca="1" si="258"/>
        <v>21.934079961624594</v>
      </c>
      <c r="AB486" s="11">
        <f t="shared" ca="1" si="258"/>
        <v>24.048329297791874</v>
      </c>
      <c r="AC486" s="11">
        <f t="shared" ca="1" si="258"/>
        <v>26.365915644828792</v>
      </c>
    </row>
    <row r="487" spans="1:29" x14ac:dyDescent="0.2">
      <c r="A487" s="3" t="s">
        <v>719</v>
      </c>
      <c r="R487" s="70"/>
      <c r="T487" s="77">
        <f t="shared" ref="T487:AC487" ca="1" si="259">SUM(T$390,T$393)</f>
        <v>-0.71599999999999997</v>
      </c>
      <c r="U487" s="77">
        <f t="shared" ca="1" si="259"/>
        <v>-0.72799999999999998</v>
      </c>
      <c r="V487" s="77">
        <f t="shared" ca="1" si="259"/>
        <v>-0.74299999999999999</v>
      </c>
      <c r="W487" s="77">
        <f t="shared" ca="1" si="259"/>
        <v>-0.75800000000000001</v>
      </c>
      <c r="X487" s="77">
        <f t="shared" ca="1" si="259"/>
        <v>-0.78300000000000003</v>
      </c>
      <c r="Y487" s="77">
        <f t="shared" ca="1" si="259"/>
        <v>-0.80400000000000005</v>
      </c>
      <c r="Z487" s="77">
        <f t="shared" ca="1" si="259"/>
        <v>-0.82900000000000007</v>
      </c>
      <c r="AA487" s="77">
        <f t="shared" ca="1" si="259"/>
        <v>-0.85400000000000009</v>
      </c>
      <c r="AB487" s="77">
        <f t="shared" ca="1" si="259"/>
        <v>-0.87600000000000011</v>
      </c>
      <c r="AC487" s="77">
        <f t="shared" ca="1" si="259"/>
        <v>-0.89900000000000013</v>
      </c>
    </row>
    <row r="488" spans="1:29" x14ac:dyDescent="0.2">
      <c r="A488" s="3" t="s">
        <v>290</v>
      </c>
      <c r="R488" s="70"/>
      <c r="T488" s="26">
        <f t="shared" ref="T488:AC488" si="260">-(T$444-S$444+T$334)</f>
        <v>0.27406227144486905</v>
      </c>
      <c r="U488" s="26">
        <f t="shared" si="260"/>
        <v>0.28691324945976859</v>
      </c>
      <c r="V488" s="26">
        <f t="shared" si="260"/>
        <v>0.29169487606794231</v>
      </c>
      <c r="W488" s="26">
        <f t="shared" si="260"/>
        <v>0.28588760135246627</v>
      </c>
      <c r="X488" s="26">
        <f t="shared" si="260"/>
        <v>0.27856520085054193</v>
      </c>
      <c r="Y488" s="26">
        <f t="shared" si="260"/>
        <v>0.26796780993615865</v>
      </c>
      <c r="Z488" s="26">
        <f t="shared" si="260"/>
        <v>0.2606496542296064</v>
      </c>
      <c r="AA488" s="26">
        <f t="shared" si="260"/>
        <v>0.25635750530056978</v>
      </c>
      <c r="AB488" s="26">
        <f t="shared" si="260"/>
        <v>0.2624052740602556</v>
      </c>
      <c r="AC488" s="26">
        <f t="shared" si="260"/>
        <v>0.26668893339855071</v>
      </c>
    </row>
    <row r="489" spans="1:29" x14ac:dyDescent="0.2">
      <c r="A489" s="3" t="s">
        <v>291</v>
      </c>
      <c r="R489" s="70"/>
      <c r="T489" s="26">
        <f t="shared" ref="T489:AC489" ca="1" si="261">-(T$437-S$437)</f>
        <v>-3.8748262548262899E-4</v>
      </c>
      <c r="U489" s="26">
        <f t="shared" ca="1" si="261"/>
        <v>-3.8774965250965368E-4</v>
      </c>
      <c r="V489" s="26">
        <f t="shared" ca="1" si="261"/>
        <v>-3.9550464555984308E-4</v>
      </c>
      <c r="W489" s="26">
        <f t="shared" ca="1" si="261"/>
        <v>-4.0341473847104251E-4</v>
      </c>
      <c r="X489" s="26">
        <f t="shared" ca="1" si="261"/>
        <v>-4.1148303324046315E-4</v>
      </c>
      <c r="Y489" s="26">
        <f t="shared" ca="1" si="261"/>
        <v>-4.1971269390527269E-4</v>
      </c>
      <c r="Z489" s="26">
        <f t="shared" ca="1" si="261"/>
        <v>-4.2810694778338057E-4</v>
      </c>
      <c r="AA489" s="26">
        <f t="shared" ca="1" si="261"/>
        <v>-4.3666908673904367E-4</v>
      </c>
      <c r="AB489" s="26">
        <f t="shared" ca="1" si="261"/>
        <v>-4.4540246847383017E-4</v>
      </c>
      <c r="AC489" s="26">
        <f t="shared" ca="1" si="261"/>
        <v>-4.543105178433024E-4</v>
      </c>
    </row>
    <row r="490" spans="1:29" x14ac:dyDescent="0.2">
      <c r="A490" s="3" t="s">
        <v>257</v>
      </c>
      <c r="R490" s="70"/>
      <c r="T490" s="78">
        <f t="shared" ref="T490:AC490" ca="1" si="262">T$340</f>
        <v>9.7130376671752686E-2</v>
      </c>
      <c r="U490" s="78">
        <f t="shared" ca="1" si="262"/>
        <v>0.10143622368893522</v>
      </c>
      <c r="V490" s="78">
        <f t="shared" ca="1" si="262"/>
        <v>0.10598973817668661</v>
      </c>
      <c r="W490" s="78">
        <f t="shared" ca="1" si="262"/>
        <v>0.11071251778880013</v>
      </c>
      <c r="X490" s="78">
        <f t="shared" ca="1" si="262"/>
        <v>0.11563007428425247</v>
      </c>
      <c r="Y490" s="78">
        <f t="shared" ca="1" si="262"/>
        <v>0.12070662264187636</v>
      </c>
      <c r="Z490" s="78">
        <f t="shared" ca="1" si="262"/>
        <v>0.12593182505526812</v>
      </c>
      <c r="AA490" s="78">
        <f t="shared" ca="1" si="262"/>
        <v>0.13130935773807617</v>
      </c>
      <c r="AB490" s="78">
        <f t="shared" ca="1" si="262"/>
        <v>0.13681845519898977</v>
      </c>
      <c r="AC490" s="78">
        <f t="shared" ca="1" si="262"/>
        <v>0.14248782927148837</v>
      </c>
    </row>
    <row r="491" spans="1:29" x14ac:dyDescent="0.2">
      <c r="A491" s="31" t="s">
        <v>720</v>
      </c>
      <c r="R491" s="70"/>
      <c r="T491" s="58">
        <f t="shared" ref="T491:AC491" ca="1" si="263">SUM(T$487:T$490,-T$209)</f>
        <v>-2.1263673060444814</v>
      </c>
      <c r="U491" s="58">
        <f t="shared" ca="1" si="263"/>
        <v>-2.1696171829227402</v>
      </c>
      <c r="V491" s="58">
        <f t="shared" ca="1" si="263"/>
        <v>-2.2235189220012641</v>
      </c>
      <c r="W491" s="58">
        <f t="shared" ca="1" si="263"/>
        <v>-2.2921511239600596</v>
      </c>
      <c r="X491" s="58">
        <f t="shared" ca="1" si="263"/>
        <v>-2.3716016280346945</v>
      </c>
      <c r="Y491" s="58">
        <f t="shared" ca="1" si="263"/>
        <v>-2.4512349618062781</v>
      </c>
      <c r="Z491" s="58">
        <f t="shared" ca="1" si="263"/>
        <v>-2.5324542593963488</v>
      </c>
      <c r="AA491" s="58">
        <f t="shared" ca="1" si="263"/>
        <v>-2.6114633087125885</v>
      </c>
      <c r="AB491" s="58">
        <f t="shared" ca="1" si="263"/>
        <v>-2.6779750423447055</v>
      </c>
      <c r="AC491" s="58">
        <f t="shared" ca="1" si="263"/>
        <v>-2.7480815537486487</v>
      </c>
    </row>
    <row r="492" spans="1:29" x14ac:dyDescent="0.2">
      <c r="A492" s="3" t="s">
        <v>293</v>
      </c>
      <c r="R492" s="70"/>
      <c r="T492" s="26">
        <f t="shared" ref="T492:AC492" ca="1" si="264">T$351-S$351-(T$428-S$428)</f>
        <v>0.25924507909747518</v>
      </c>
      <c r="U492" s="26">
        <f t="shared" ca="1" si="264"/>
        <v>0.18173276247323678</v>
      </c>
      <c r="V492" s="26">
        <f t="shared" ca="1" si="264"/>
        <v>0.35155441940750265</v>
      </c>
      <c r="W492" s="26">
        <f t="shared" ca="1" si="264"/>
        <v>0.36135203016099471</v>
      </c>
      <c r="X492" s="26">
        <f t="shared" ca="1" si="264"/>
        <v>0.37077864440306652</v>
      </c>
      <c r="Y492" s="26">
        <f t="shared" ca="1" si="264"/>
        <v>0.37769579337689674</v>
      </c>
      <c r="Z492" s="26">
        <f t="shared" ca="1" si="264"/>
        <v>0.38237618211320168</v>
      </c>
      <c r="AA492" s="26">
        <f t="shared" ca="1" si="264"/>
        <v>0.38668989441387858</v>
      </c>
      <c r="AB492" s="26">
        <f t="shared" ca="1" si="264"/>
        <v>0.3910026430772664</v>
      </c>
      <c r="AC492" s="26">
        <f t="shared" ca="1" si="264"/>
        <v>0.39761591564932885</v>
      </c>
    </row>
    <row r="493" spans="1:29" x14ac:dyDescent="0.2">
      <c r="A493" s="3" t="s">
        <v>294</v>
      </c>
      <c r="R493" s="70"/>
      <c r="T493" s="26">
        <f t="shared" ref="T493:AC493" ca="1" si="265">T$162-(T$348-S$348)-(T$458+T$362-(T$348-S$348))-(T$223-(-T$462))</f>
        <v>0.19341103345818755</v>
      </c>
      <c r="U493" s="26">
        <f t="shared" ca="1" si="265"/>
        <v>0.18973042859752631</v>
      </c>
      <c r="V493" s="26">
        <f t="shared" ca="1" si="265"/>
        <v>0.17928706905710801</v>
      </c>
      <c r="W493" s="26">
        <f t="shared" ca="1" si="265"/>
        <v>0.17769777346786197</v>
      </c>
      <c r="X493" s="26">
        <f t="shared" ca="1" si="265"/>
        <v>0.18111488849585866</v>
      </c>
      <c r="Y493" s="26">
        <f t="shared" ca="1" si="265"/>
        <v>0.18705828743883179</v>
      </c>
      <c r="Z493" s="26">
        <f t="shared" ca="1" si="265"/>
        <v>0.19711140376084657</v>
      </c>
      <c r="AA493" s="26">
        <f t="shared" ca="1" si="265"/>
        <v>0.2224395362428444</v>
      </c>
      <c r="AB493" s="26">
        <f t="shared" ca="1" si="265"/>
        <v>0.25033830527883083</v>
      </c>
      <c r="AC493" s="26">
        <f t="shared" ca="1" si="265"/>
        <v>0.28603862528432344</v>
      </c>
    </row>
    <row r="494" spans="1:29" x14ac:dyDescent="0.2">
      <c r="A494" s="3" t="s">
        <v>295</v>
      </c>
      <c r="R494" s="70"/>
      <c r="T494" s="26">
        <f t="shared" ref="T494:AC494" ca="1" si="266">T$397-S$397</f>
        <v>2.7422873917139656E-2</v>
      </c>
      <c r="U494" s="26">
        <f t="shared" ca="1" si="266"/>
        <v>2.7334585801350619E-2</v>
      </c>
      <c r="V494" s="26">
        <f t="shared" ca="1" si="266"/>
        <v>2.7433219675971454E-2</v>
      </c>
      <c r="W494" s="26">
        <f t="shared" ca="1" si="266"/>
        <v>2.6958801546631883E-2</v>
      </c>
      <c r="X494" s="26">
        <f t="shared" ca="1" si="266"/>
        <v>2.6403616144292097E-2</v>
      </c>
      <c r="Y494" s="26">
        <f t="shared" ca="1" si="266"/>
        <v>2.5444326152831542E-2</v>
      </c>
      <c r="Z494" s="26">
        <f t="shared" ca="1" si="266"/>
        <v>2.618939977617607E-2</v>
      </c>
      <c r="AA494" s="26">
        <f t="shared" ca="1" si="266"/>
        <v>2.6952899064458413E-2</v>
      </c>
      <c r="AB494" s="26">
        <f t="shared" ca="1" si="266"/>
        <v>2.7612318986917295E-2</v>
      </c>
      <c r="AC494" s="26">
        <f t="shared" ca="1" si="266"/>
        <v>2.8415646384304161E-2</v>
      </c>
    </row>
    <row r="495" spans="1:29" x14ac:dyDescent="0.2">
      <c r="A495" s="3" t="s">
        <v>296</v>
      </c>
      <c r="R495" s="70"/>
      <c r="T495" s="26">
        <f t="shared" ref="T495:AC495" ca="1" si="267">T$400-S$400</f>
        <v>5.8584888097111376E-2</v>
      </c>
      <c r="U495" s="26">
        <f t="shared" ca="1" si="267"/>
        <v>6.0220398305582901E-2</v>
      </c>
      <c r="V495" s="26">
        <f t="shared" ca="1" si="267"/>
        <v>6.2680843730684499E-2</v>
      </c>
      <c r="W495" s="26">
        <f t="shared" ca="1" si="267"/>
        <v>6.39934814093992E-2</v>
      </c>
      <c r="X495" s="26">
        <f t="shared" ca="1" si="267"/>
        <v>6.5497653987820925E-2</v>
      </c>
      <c r="Y495" s="26">
        <f t="shared" ca="1" si="267"/>
        <v>6.6380876701895852E-2</v>
      </c>
      <c r="Z495" s="26">
        <f t="shared" ca="1" si="267"/>
        <v>6.8324675096398391E-2</v>
      </c>
      <c r="AA495" s="26">
        <f t="shared" ca="1" si="267"/>
        <v>7.0316543610150273E-2</v>
      </c>
      <c r="AB495" s="26">
        <f t="shared" ca="1" si="267"/>
        <v>7.2036882844311423E-2</v>
      </c>
      <c r="AC495" s="26">
        <f t="shared" ca="1" si="267"/>
        <v>7.4132657619280673E-2</v>
      </c>
    </row>
    <row r="496" spans="1:29" x14ac:dyDescent="0.2">
      <c r="A496" s="3" t="s">
        <v>297</v>
      </c>
      <c r="R496" s="70"/>
      <c r="T496" s="26">
        <f t="shared" ref="T496:AC496" ca="1" si="268">-(T$433-S$433)</f>
        <v>-3.5284116529500031E-2</v>
      </c>
      <c r="U496" s="26">
        <f t="shared" ca="1" si="268"/>
        <v>-3.4070233300723507E-2</v>
      </c>
      <c r="V496" s="26">
        <f t="shared" ca="1" si="268"/>
        <v>-3.2840138144301201E-2</v>
      </c>
      <c r="W496" s="26">
        <f t="shared" ca="1" si="268"/>
        <v>-3.0826612661901009E-2</v>
      </c>
      <c r="X496" s="26">
        <f t="shared" ca="1" si="268"/>
        <v>-2.8489557435549151E-2</v>
      </c>
      <c r="Y496" s="26">
        <f t="shared" ca="1" si="268"/>
        <v>-2.5486366294065421E-2</v>
      </c>
      <c r="Z496" s="26">
        <f t="shared" ca="1" si="268"/>
        <v>-2.6232670958081572E-2</v>
      </c>
      <c r="AA496" s="26">
        <f t="shared" ca="1" si="268"/>
        <v>-2.6997431730661825E-2</v>
      </c>
      <c r="AB496" s="26">
        <f t="shared" ca="1" si="268"/>
        <v>-2.765794117329512E-2</v>
      </c>
      <c r="AC496" s="26">
        <f t="shared" ca="1" si="268"/>
        <v>-2.8462595860587081E-2</v>
      </c>
    </row>
    <row r="497" spans="1:29" x14ac:dyDescent="0.2">
      <c r="A497" s="3" t="s">
        <v>298</v>
      </c>
      <c r="R497" s="70"/>
      <c r="T497" s="26">
        <f t="shared" ref="T497:AC497" ca="1" si="269">-(SUM(T$430-T$428,T$452)-SUM(S$430-S$428,S$452))</f>
        <v>-0.49364405842272863</v>
      </c>
      <c r="U497" s="26">
        <f t="shared" ca="1" si="269"/>
        <v>-0.48472076792555718</v>
      </c>
      <c r="V497" s="26">
        <f t="shared" ca="1" si="269"/>
        <v>-0.56073346793648771</v>
      </c>
      <c r="W497" s="26">
        <f t="shared" ca="1" si="269"/>
        <v>-0.54766515213577094</v>
      </c>
      <c r="X497" s="26">
        <f t="shared" ca="1" si="269"/>
        <v>-0.53156165383524723</v>
      </c>
      <c r="Y497" s="26">
        <f t="shared" ca="1" si="269"/>
        <v>-0.50691087040878813</v>
      </c>
      <c r="Z497" s="26">
        <f t="shared" ca="1" si="269"/>
        <v>-0.51818869510806564</v>
      </c>
      <c r="AA497" s="26">
        <f t="shared" ca="1" si="269"/>
        <v>-0.52949954570905433</v>
      </c>
      <c r="AB497" s="26">
        <f t="shared" ca="1" si="269"/>
        <v>-0.53936508054374244</v>
      </c>
      <c r="AC497" s="26">
        <f t="shared" ca="1" si="269"/>
        <v>-0.55229815621701661</v>
      </c>
    </row>
    <row r="498" spans="1:29" x14ac:dyDescent="0.2">
      <c r="A498" s="31" t="s">
        <v>299</v>
      </c>
      <c r="B498" s="4"/>
      <c r="R498" s="70"/>
      <c r="T498" s="58">
        <f t="shared" ref="T498:AC498" ca="1" si="270">SUM(T$492:T$497)</f>
        <v>9.7356996176850563E-3</v>
      </c>
      <c r="U498" s="58">
        <f t="shared" ca="1" si="270"/>
        <v>-5.9772826048584082E-2</v>
      </c>
      <c r="V498" s="58">
        <f t="shared" ca="1" si="270"/>
        <v>2.7381945790477702E-2</v>
      </c>
      <c r="W498" s="58">
        <f t="shared" ca="1" si="270"/>
        <v>5.1510321787215818E-2</v>
      </c>
      <c r="X498" s="58">
        <f t="shared" ca="1" si="270"/>
        <v>8.374359176024182E-2</v>
      </c>
      <c r="Y498" s="58">
        <f t="shared" ca="1" si="270"/>
        <v>0.12418204696760238</v>
      </c>
      <c r="Z498" s="58">
        <f t="shared" ca="1" si="270"/>
        <v>0.12958029468047549</v>
      </c>
      <c r="AA498" s="58">
        <f t="shared" ca="1" si="270"/>
        <v>0.14990189589161551</v>
      </c>
      <c r="AB498" s="58">
        <f t="shared" ca="1" si="270"/>
        <v>0.17396712847028839</v>
      </c>
      <c r="AC498" s="58">
        <f t="shared" ca="1" si="270"/>
        <v>0.20544209285963344</v>
      </c>
    </row>
    <row r="499" spans="1:29" x14ac:dyDescent="0.2">
      <c r="A499" s="2" t="s">
        <v>780</v>
      </c>
      <c r="B499" s="4" t="str">
        <f>$B$73</f>
        <v>Projected Years only</v>
      </c>
      <c r="F499" s="23"/>
      <c r="G499" s="23"/>
      <c r="H499" s="23"/>
      <c r="I499" s="23"/>
      <c r="J499" s="23"/>
      <c r="K499" s="23"/>
      <c r="L499" s="23"/>
      <c r="M499" s="25"/>
      <c r="N499" s="25"/>
      <c r="O499" s="25"/>
      <c r="P499" s="25"/>
      <c r="Q499" s="25"/>
      <c r="R499" s="70"/>
      <c r="T499" s="11">
        <f t="shared" ref="T499:AC499" ca="1" si="271">SUM(T$486,T$491,T$498)</f>
        <v>8.4047607809923299</v>
      </c>
      <c r="U499" s="11">
        <f t="shared" ca="1" si="271"/>
        <v>9.86380111336873</v>
      </c>
      <c r="V499" s="11">
        <f t="shared" ca="1" si="271"/>
        <v>11.364080296753681</v>
      </c>
      <c r="W499" s="11">
        <f t="shared" ca="1" si="271"/>
        <v>12.866210599090699</v>
      </c>
      <c r="X499" s="11">
        <f t="shared" ca="1" si="271"/>
        <v>14.314650029462303</v>
      </c>
      <c r="Y499" s="11">
        <f t="shared" ca="1" si="271"/>
        <v>15.888744275924131</v>
      </c>
      <c r="Z499" s="11">
        <f t="shared" ca="1" si="271"/>
        <v>17.549627706199395</v>
      </c>
      <c r="AA499" s="11">
        <f t="shared" ca="1" si="271"/>
        <v>19.47251854880362</v>
      </c>
      <c r="AB499" s="11">
        <f t="shared" ca="1" si="271"/>
        <v>21.544321383917456</v>
      </c>
      <c r="AC499" s="11">
        <f t="shared" ca="1" si="271"/>
        <v>23.823276183939779</v>
      </c>
    </row>
    <row r="500" spans="1:29" x14ac:dyDescent="0.2">
      <c r="A500" s="2" t="s">
        <v>801</v>
      </c>
      <c r="B500" s="4"/>
      <c r="F500" s="23"/>
      <c r="G500" s="23"/>
      <c r="H500" s="23"/>
      <c r="I500" s="23"/>
      <c r="J500" s="23"/>
      <c r="K500" s="23"/>
      <c r="L500" s="23"/>
      <c r="M500" s="25"/>
      <c r="N500" s="25"/>
      <c r="O500" s="25"/>
      <c r="P500" s="25"/>
      <c r="Q500" s="25"/>
      <c r="R500" s="70"/>
      <c r="T500" s="7" t="str">
        <f t="shared" ref="T500:AC500" ca="1" si="272">IF(ROUND(T$57-T$499,3)=0,"OK","ERROR")</f>
        <v>OK</v>
      </c>
      <c r="U500" s="7" t="str">
        <f t="shared" ca="1" si="272"/>
        <v>OK</v>
      </c>
      <c r="V500" s="7" t="str">
        <f t="shared" ca="1" si="272"/>
        <v>OK</v>
      </c>
      <c r="W500" s="7" t="str">
        <f t="shared" ca="1" si="272"/>
        <v>OK</v>
      </c>
      <c r="X500" s="7" t="str">
        <f t="shared" ca="1" si="272"/>
        <v>OK</v>
      </c>
      <c r="Y500" s="7" t="str">
        <f t="shared" ca="1" si="272"/>
        <v>OK</v>
      </c>
      <c r="Z500" s="7" t="str">
        <f t="shared" ca="1" si="272"/>
        <v>OK</v>
      </c>
      <c r="AA500" s="7" t="str">
        <f t="shared" ca="1" si="272"/>
        <v>OK</v>
      </c>
      <c r="AB500" s="7" t="str">
        <f t="shared" ca="1" si="272"/>
        <v>OK</v>
      </c>
      <c r="AC500" s="7" t="str">
        <f t="shared" ca="1" si="272"/>
        <v>OK</v>
      </c>
    </row>
  </sheetData>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Drop Down 1">
              <controlPr defaultSize="0" autoLine="0" autoPict="0">
                <anchor moveWithCells="1">
                  <from>
                    <xdr:col>0</xdr:col>
                    <xdr:colOff>38100</xdr:colOff>
                    <xdr:row>4</xdr:row>
                    <xdr:rowOff>0</xdr:rowOff>
                  </from>
                  <to>
                    <xdr:col>1</xdr:col>
                    <xdr:colOff>0</xdr:colOff>
                    <xdr:row>5</xdr:row>
                    <xdr:rowOff>9525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16"/>
  <sheetViews>
    <sheetView zoomScale="90" zoomScaleNormal="90" workbookViewId="0">
      <pane xSplit="4" ySplit="6" topLeftCell="E7" activePane="bottomRight" state="frozen"/>
      <selection pane="topRight" activeCell="E1" sqref="E1"/>
      <selection pane="bottomLeft" activeCell="A7" sqref="A7"/>
      <selection pane="bottomRight" activeCell="D4" sqref="D4"/>
    </sheetView>
  </sheetViews>
  <sheetFormatPr defaultColWidth="8.7109375" defaultRowHeight="12.75" x14ac:dyDescent="0.2"/>
  <cols>
    <col min="1" max="1" width="70.5703125" style="3" customWidth="1"/>
    <col min="2" max="2" width="13.5703125" style="3" customWidth="1"/>
    <col min="3" max="4" width="5.5703125" style="3" customWidth="1"/>
    <col min="5" max="5" width="8.7109375" style="3"/>
    <col min="6" max="6" width="8.7109375" style="3" customWidth="1"/>
    <col min="7" max="9" width="8.7109375" style="3"/>
    <col min="10" max="10" width="8.7109375" style="3" customWidth="1"/>
    <col min="11" max="16" width="8.7109375" style="3"/>
    <col min="17" max="18" width="8.7109375" style="3" customWidth="1"/>
    <col min="19" max="16384" width="8.7109375" style="3"/>
  </cols>
  <sheetData>
    <row r="1" spans="1:31" ht="15.75" x14ac:dyDescent="0.25">
      <c r="A1" s="1" t="s">
        <v>201</v>
      </c>
      <c r="B1" s="2" t="s">
        <v>904</v>
      </c>
      <c r="C1" s="7">
        <f>MATCH($B$1,Choices!$C$7:$W$7,0)</f>
        <v>2</v>
      </c>
      <c r="D1" s="4"/>
      <c r="E1" s="3" t="s">
        <v>1188</v>
      </c>
      <c r="O1" s="3" t="s">
        <v>1193</v>
      </c>
      <c r="S1" s="26"/>
      <c r="T1" s="26">
        <f ca="1">MAX(OFFSET(Choices!$B$10,0,$C$1)+OFFSET(Choices!$B$60,0,$C$1)-T$4,0)/(OFFSET(Choices!$B$60,0,$C$1)*(OFFSET(Choices!$B$60,0,$C$1)+1)/2)</f>
        <v>0.33333333333333331</v>
      </c>
      <c r="U1" s="26">
        <f ca="1">MAX(OFFSET(Choices!$B$10,0,$C$1)+OFFSET(Choices!$B$60,0,$C$1)-U$4,0)/(OFFSET(Choices!$B$60,0,$C$1)*(OFFSET(Choices!$B$60,0,$C$1)+1)/2)</f>
        <v>0.26666666666666666</v>
      </c>
      <c r="V1" s="26">
        <f ca="1">MAX(OFFSET(Choices!$B$10,0,$C$1)+OFFSET(Choices!$B$60,0,$C$1)-V$4,0)/(OFFSET(Choices!$B$60,0,$C$1)*(OFFSET(Choices!$B$60,0,$C$1)+1)/2)</f>
        <v>0.2</v>
      </c>
      <c r="W1" s="26">
        <f ca="1">MAX(OFFSET(Choices!$B$10,0,$C$1)+OFFSET(Choices!$B$60,0,$C$1)-W$4,0)/(OFFSET(Choices!$B$60,0,$C$1)*(OFFSET(Choices!$B$60,0,$C$1)+1)/2)</f>
        <v>0.13333333333333333</v>
      </c>
      <c r="X1" s="26">
        <f ca="1">MAX(OFFSET(Choices!$B$10,0,$C$1)+OFFSET(Choices!$B$60,0,$C$1)-X$4,0)/(OFFSET(Choices!$B$60,0,$C$1)*(OFFSET(Choices!$B$60,0,$C$1)+1)/2)</f>
        <v>6.6666666666666666E-2</v>
      </c>
      <c r="Y1" s="26">
        <f ca="1">MAX(OFFSET(Choices!$B$10,0,$C$1)+OFFSET(Choices!$B$60,0,$C$1)-Y$4,0)/(OFFSET(Choices!$B$60,0,$C$1)*(OFFSET(Choices!$B$60,0,$C$1)+1)/2)</f>
        <v>0</v>
      </c>
      <c r="Z1" s="26">
        <f ca="1">MAX(OFFSET(Choices!$B$10,0,$C$1)+OFFSET(Choices!$B$60,0,$C$1)-Z$4,0)/(OFFSET(Choices!$B$60,0,$C$1)*(OFFSET(Choices!$B$60,0,$C$1)+1)/2)</f>
        <v>0</v>
      </c>
      <c r="AA1" s="26">
        <f ca="1">MAX(OFFSET(Choices!$B$10,0,$C$1)+OFFSET(Choices!$B$60,0,$C$1)-AA$4,0)/(OFFSET(Choices!$B$60,0,$C$1)*(OFFSET(Choices!$B$60,0,$C$1)+1)/2)</f>
        <v>0</v>
      </c>
      <c r="AB1" s="26">
        <f ca="1">MAX(OFFSET(Choices!$B$10,0,$C$1)+OFFSET(Choices!$B$60,0,$C$1)-AB$4,0)/(OFFSET(Choices!$B$60,0,$C$1)*(OFFSET(Choices!$B$60,0,$C$1)+1)/2)</f>
        <v>0</v>
      </c>
      <c r="AC1" s="26">
        <f ca="1">MAX(OFFSET(Choices!$B$10,0,$C$1)+OFFSET(Choices!$B$60,0,$C$1)-AC$4,0)/(OFFSET(Choices!$B$60,0,$C$1)*(OFFSET(Choices!$B$60,0,$C$1)+1)/2)</f>
        <v>0</v>
      </c>
    </row>
    <row r="2" spans="1:31" x14ac:dyDescent="0.2">
      <c r="A2" s="4" t="s">
        <v>165</v>
      </c>
      <c r="B2" s="4" t="s">
        <v>862</v>
      </c>
      <c r="D2" s="7" t="s">
        <v>858</v>
      </c>
      <c r="E2" s="7"/>
      <c r="F2" s="7"/>
      <c r="G2" s="7"/>
      <c r="H2" s="7"/>
      <c r="I2" s="7"/>
      <c r="J2" s="7"/>
      <c r="L2" s="4" t="s">
        <v>381</v>
      </c>
    </row>
    <row r="3" spans="1:31" x14ac:dyDescent="0.2">
      <c r="A3" s="45" t="s">
        <v>202</v>
      </c>
      <c r="B3" s="4" t="s">
        <v>889</v>
      </c>
      <c r="D3" s="7" t="s">
        <v>858</v>
      </c>
      <c r="E3" s="46" t="s">
        <v>42</v>
      </c>
      <c r="F3" s="46" t="s">
        <v>43</v>
      </c>
      <c r="G3" s="46" t="s">
        <v>44</v>
      </c>
      <c r="H3" s="46" t="s">
        <v>45</v>
      </c>
      <c r="I3" s="46" t="s">
        <v>46</v>
      </c>
      <c r="J3" s="46" t="s">
        <v>47</v>
      </c>
      <c r="K3" s="46" t="s">
        <v>48</v>
      </c>
      <c r="L3" s="46" t="s">
        <v>49</v>
      </c>
      <c r="M3" s="46" t="s">
        <v>50</v>
      </c>
      <c r="N3" s="46" t="s">
        <v>51</v>
      </c>
      <c r="O3" s="48" t="s">
        <v>52</v>
      </c>
      <c r="P3" s="48" t="s">
        <v>53</v>
      </c>
      <c r="Q3" s="48" t="s">
        <v>54</v>
      </c>
      <c r="R3" s="48" t="s">
        <v>55</v>
      </c>
      <c r="S3" s="48" t="s">
        <v>56</v>
      </c>
      <c r="T3" s="8" t="s">
        <v>57</v>
      </c>
      <c r="U3" s="8" t="s">
        <v>58</v>
      </c>
      <c r="V3" s="8" t="s">
        <v>59</v>
      </c>
      <c r="W3" s="8" t="s">
        <v>60</v>
      </c>
      <c r="X3" s="8" t="s">
        <v>61</v>
      </c>
      <c r="Y3" s="8" t="s">
        <v>62</v>
      </c>
      <c r="Z3" s="8" t="s">
        <v>63</v>
      </c>
      <c r="AA3" s="8" t="s">
        <v>64</v>
      </c>
      <c r="AB3" s="8" t="s">
        <v>65</v>
      </c>
      <c r="AC3" s="8" t="s">
        <v>66</v>
      </c>
    </row>
    <row r="4" spans="1:31" x14ac:dyDescent="0.2">
      <c r="A4" s="82" t="s">
        <v>789</v>
      </c>
      <c r="E4" s="47">
        <v>2006</v>
      </c>
      <c r="F4" s="47">
        <v>2007</v>
      </c>
      <c r="G4" s="47">
        <v>2008</v>
      </c>
      <c r="H4" s="47">
        <v>2009</v>
      </c>
      <c r="I4" s="47">
        <v>2010</v>
      </c>
      <c r="J4" s="47">
        <v>2011</v>
      </c>
      <c r="K4" s="47">
        <v>2012</v>
      </c>
      <c r="L4" s="47">
        <v>2013</v>
      </c>
      <c r="M4" s="47">
        <v>2014</v>
      </c>
      <c r="N4" s="47">
        <v>2015</v>
      </c>
      <c r="O4" s="49">
        <v>2016</v>
      </c>
      <c r="P4" s="49">
        <v>2017</v>
      </c>
      <c r="Q4" s="49">
        <v>2018</v>
      </c>
      <c r="R4" s="49">
        <v>2019</v>
      </c>
      <c r="S4" s="49">
        <v>2020</v>
      </c>
      <c r="T4" s="7">
        <v>2021</v>
      </c>
      <c r="U4" s="7">
        <v>2022</v>
      </c>
      <c r="V4" s="7">
        <v>2023</v>
      </c>
      <c r="W4" s="7">
        <v>2024</v>
      </c>
      <c r="X4" s="7">
        <v>2025</v>
      </c>
      <c r="Y4" s="7">
        <v>2026</v>
      </c>
      <c r="Z4" s="7">
        <v>2027</v>
      </c>
      <c r="AA4" s="7">
        <v>2028</v>
      </c>
      <c r="AB4" s="7">
        <v>2029</v>
      </c>
      <c r="AC4" s="7">
        <v>2030</v>
      </c>
    </row>
    <row r="5" spans="1:31" ht="15" customHeight="1" x14ac:dyDescent="0.2">
      <c r="A5" s="82"/>
      <c r="E5" s="13"/>
      <c r="F5" s="62">
        <f ca="1">OFFSET(F$1,Display!$C$1-1,0)</f>
        <v>13.196000000000002</v>
      </c>
      <c r="G5" s="62">
        <f ca="1">OFFSET(G$1,Display!$C$1-1,0)</f>
        <v>10.257999999999996</v>
      </c>
      <c r="H5" s="62">
        <f ca="1">OFFSET(H$1,Display!$C$1-1,0)</f>
        <v>17.119</v>
      </c>
      <c r="I5" s="62">
        <f ca="1">OFFSET(I$1,Display!$C$1-1,0)</f>
        <v>26.737999999999996</v>
      </c>
      <c r="J5" s="62">
        <f ca="1">OFFSET(J$1,Display!$C$1-1,0)</f>
        <v>40.128</v>
      </c>
      <c r="K5" s="62">
        <f ca="1">OFFSET(K$1,Display!$C$1-1,0)</f>
        <v>50.671000000000006</v>
      </c>
      <c r="L5" s="62">
        <f ca="1">OFFSET(L$1,Display!$C$1-1,0)</f>
        <v>55.834999999999994</v>
      </c>
      <c r="M5" s="62">
        <f ca="1">OFFSET(M$1,Display!$C$1-1,0)</f>
        <v>59.931000000000012</v>
      </c>
      <c r="N5" s="62">
        <f ca="1">OFFSET(N$1,Display!$C$1-1,0)</f>
        <v>60.631000000000007</v>
      </c>
      <c r="O5" s="70">
        <f ca="1">OFFSET(O$1,Display!$C$1-1,0)</f>
        <v>65.89</v>
      </c>
      <c r="P5" s="70">
        <f ca="1">OFFSET(P$1,Display!$C$1-1,0)</f>
        <v>70.69</v>
      </c>
      <c r="Q5" s="70">
        <f ca="1">OFFSET(Q$1,Display!$C$1-1,0)</f>
        <v>73.420999999999992</v>
      </c>
      <c r="R5" s="70">
        <f ca="1">OFFSET(R$1,Display!$C$1-1,0)</f>
        <v>72.825000000000003</v>
      </c>
      <c r="S5" s="70">
        <f ca="1">OFFSET(S$1,Display!$C$1-1,0)</f>
        <v>71.11</v>
      </c>
      <c r="T5" s="63">
        <f ca="1">OFFSET(T$1,Display!$C$1-1,0)</f>
        <v>67.743878365210165</v>
      </c>
      <c r="U5" s="63">
        <f ca="1">OFFSET(U$1,Display!$C$1-1,0)</f>
        <v>63.168595626544779</v>
      </c>
      <c r="V5" s="63">
        <f ca="1">OFFSET(V$1,Display!$C$1-1,0)</f>
        <v>60.160670836867183</v>
      </c>
      <c r="W5" s="63">
        <f ca="1">OFFSET(W$1,Display!$C$1-1,0)</f>
        <v>55.840430734474111</v>
      </c>
      <c r="X5" s="63">
        <f ca="1">OFFSET(X$1,Display!$C$1-1,0)</f>
        <v>50.294249319316975</v>
      </c>
      <c r="Y5" s="63">
        <f ca="1">OFFSET(Y$1,Display!$C$1-1,0)</f>
        <v>43.36039277888424</v>
      </c>
      <c r="Z5" s="63">
        <f ca="1">OFFSET(Z$1,Display!$C$1-1,0)</f>
        <v>34.907027201363562</v>
      </c>
      <c r="AA5" s="63">
        <f ca="1">OFFSET(AA$1,Display!$C$1-1,0)</f>
        <v>24.668964428222722</v>
      </c>
      <c r="AB5" s="63">
        <f ca="1">OFFSET(AB$1,Display!$C$1-1,0)</f>
        <v>12.507803453894795</v>
      </c>
      <c r="AC5" s="63">
        <f ca="1">OFFSET(AC$1,Display!$C$1-1,0)</f>
        <v>-1.7446190372968999</v>
      </c>
    </row>
    <row r="6" spans="1:31" x14ac:dyDescent="0.2">
      <c r="A6" s="84" t="str">
        <f ca="1">CONCATENATE(OFFSET($A$1,Display!$C$1-1,0)," as % of nominal GDP")</f>
        <v>Net core Crown debt excluding NZSF financial assets and advances as % of nominal GDP</v>
      </c>
      <c r="B6" s="2"/>
      <c r="F6" s="19">
        <f t="shared" ref="F6:L6" ca="1" si="0">F$5/F$11</f>
        <v>7.5419936330850965E-2</v>
      </c>
      <c r="G6" s="19">
        <f t="shared" ca="1" si="0"/>
        <v>5.4532792506392612E-2</v>
      </c>
      <c r="H6" s="19">
        <f t="shared" ca="1" si="0"/>
        <v>9.1304255069495563E-2</v>
      </c>
      <c r="I6" s="19">
        <f t="shared" ca="1" si="0"/>
        <v>0.13683585633719203</v>
      </c>
      <c r="J6" s="19">
        <f t="shared" ca="1" si="0"/>
        <v>0.19693467410668275</v>
      </c>
      <c r="K6" s="19">
        <f t="shared" ca="1" si="0"/>
        <v>0.23864717462769519</v>
      </c>
      <c r="L6" s="19">
        <f t="shared" ca="1" si="0"/>
        <v>0.25777693650104799</v>
      </c>
      <c r="M6" s="19">
        <f ca="1">M$5/M$11</f>
        <v>0.25615479304508393</v>
      </c>
      <c r="N6" s="19">
        <f ca="1">N$5/N$11</f>
        <v>0.25200859550024735</v>
      </c>
      <c r="O6" s="17">
        <f ca="1">O$5/O$11</f>
        <v>0.26902332569828069</v>
      </c>
      <c r="P6" s="17">
        <f ca="1">P$5/P$11</f>
        <v>0.27724612898671225</v>
      </c>
      <c r="Q6" s="17">
        <f ca="1">Q$5/Q$11</f>
        <v>0.27069346281610274</v>
      </c>
      <c r="R6" s="17">
        <f t="shared" ref="R6:AA6" ca="1" si="1">R$5/R$11</f>
        <v>0.25563933528507338</v>
      </c>
      <c r="S6" s="17">
        <f t="shared" ca="1" si="1"/>
        <v>0.23999325008437394</v>
      </c>
      <c r="T6" s="15">
        <f t="shared" ca="1" si="1"/>
        <v>0.21891034262315914</v>
      </c>
      <c r="U6" s="15">
        <f t="shared" ca="1" si="1"/>
        <v>0.19546069832157509</v>
      </c>
      <c r="V6" s="15">
        <f t="shared" ca="1" si="1"/>
        <v>0.17815587480518505</v>
      </c>
      <c r="W6" s="15">
        <f t="shared" ca="1" si="1"/>
        <v>0.15830817023343569</v>
      </c>
      <c r="X6" s="15">
        <f t="shared" ca="1" si="1"/>
        <v>0.13652079944545373</v>
      </c>
      <c r="Y6" s="15">
        <f t="shared" ca="1" si="1"/>
        <v>0.11274918364824017</v>
      </c>
      <c r="Z6" s="15">
        <f t="shared" ca="1" si="1"/>
        <v>8.7001885378790819E-2</v>
      </c>
      <c r="AA6" s="15">
        <f t="shared" ca="1" si="1"/>
        <v>5.8966661305456074E-2</v>
      </c>
      <c r="AB6" s="15">
        <f ca="1">AB$5/AB$11</f>
        <v>2.8693773295494083E-2</v>
      </c>
      <c r="AC6" s="15">
        <f ca="1">AC$5/AC$11</f>
        <v>-3.8430331791358243E-3</v>
      </c>
    </row>
    <row r="7" spans="1:31" ht="15.75" x14ac:dyDescent="0.25">
      <c r="A7" s="1" t="s">
        <v>203</v>
      </c>
      <c r="F7" s="26"/>
      <c r="G7" s="26"/>
      <c r="H7" s="26"/>
      <c r="I7" s="26"/>
      <c r="J7" s="26"/>
      <c r="K7" s="26"/>
      <c r="L7" s="26"/>
      <c r="M7" s="26"/>
      <c r="N7" s="26"/>
      <c r="O7" s="26"/>
      <c r="P7" s="26"/>
      <c r="Q7" s="26"/>
      <c r="R7" s="26"/>
      <c r="S7" s="26"/>
      <c r="T7" s="26"/>
      <c r="U7" s="26"/>
      <c r="V7" s="26"/>
      <c r="W7" s="26"/>
      <c r="X7" s="26"/>
      <c r="Y7" s="26"/>
      <c r="Z7" s="26"/>
      <c r="AA7" s="26"/>
      <c r="AB7" s="26"/>
    </row>
    <row r="8" spans="1:31" x14ac:dyDescent="0.2">
      <c r="A8" s="5" t="s">
        <v>204</v>
      </c>
    </row>
    <row r="9" spans="1:31" x14ac:dyDescent="0.2">
      <c r="A9" s="31" t="s">
        <v>1149</v>
      </c>
      <c r="B9" s="4" t="s">
        <v>209</v>
      </c>
      <c r="F9" s="21">
        <f>'Economic Forecasts'!F$6</f>
        <v>192.51</v>
      </c>
      <c r="G9" s="21">
        <f>'Economic Forecasts'!G$6</f>
        <v>196.36500000000001</v>
      </c>
      <c r="H9" s="21">
        <f>'Economic Forecasts'!H$6</f>
        <v>192.47</v>
      </c>
      <c r="I9" s="21">
        <f>'Economic Forecasts'!I$6</f>
        <v>194.09700000000001</v>
      </c>
      <c r="J9" s="21">
        <f>'Economic Forecasts'!J$6</f>
        <v>196.048</v>
      </c>
      <c r="K9" s="21">
        <f>'Economic Forecasts'!K$6</f>
        <v>201.077</v>
      </c>
      <c r="L9" s="21">
        <f>'Economic Forecasts'!L$6</f>
        <v>205.315</v>
      </c>
      <c r="M9" s="21">
        <f>'Economic Forecasts'!M$6</f>
        <v>211.239</v>
      </c>
      <c r="N9" s="21">
        <f>'Economic Forecasts'!N$6</f>
        <v>217.47800000000001</v>
      </c>
      <c r="O9" s="24">
        <f>'Economic Forecasts'!O$6</f>
        <v>222.02699999999999</v>
      </c>
      <c r="P9" s="24">
        <f>'Economic Forecasts'!P$6</f>
        <v>227.78399999999999</v>
      </c>
      <c r="Q9" s="24">
        <f>'Economic Forecasts'!Q$6</f>
        <v>236.31299999999999</v>
      </c>
      <c r="R9" s="24">
        <f>'Economic Forecasts'!R$6</f>
        <v>242.58099999999999</v>
      </c>
      <c r="S9" s="24">
        <f>'Economic Forecasts'!S$6</f>
        <v>247.733</v>
      </c>
      <c r="T9" s="26">
        <f ca="1">S$9*IF(T$4&lt;=OFFSET(Choices!$B$20,0,$C$1),1+OFFSET(Choices!$B$21,0,$C$1),T$15*(1-T$20)*T$23/(S$15*(1-S$20)*S$23)*(1+T$27))</f>
        <v>253.56433362774175</v>
      </c>
      <c r="U9" s="26">
        <f ca="1">T$9*IF(U$4&lt;=OFFSET(Choices!$B$20,0,$C$1),1+OFFSET(Choices!$B$21,0,$C$1),U$15*(1-U$20)*U$23/(T$15*(1-T$20)*T$23)*(1+U$27))</f>
        <v>259.61273571945765</v>
      </c>
      <c r="V9" s="26">
        <f ca="1">U$9*IF(V$4&lt;=OFFSET(Choices!$B$20,0,$C$1),1+OFFSET(Choices!$B$21,0,$C$1),V$15*(1-V$20)*V$23/(U$15*(1-U$20)*U$23)*(1+V$27))</f>
        <v>265.94790192099862</v>
      </c>
      <c r="W9" s="26">
        <f ca="1">V$9*IF(W$4&lt;=OFFSET(Choices!$B$20,0,$C$1),1+OFFSET(Choices!$B$21,0,$C$1),W$15*(1-W$20)*W$23/(V$15*(1-V$20)*V$23)*(1+W$27))</f>
        <v>272.35120735008354</v>
      </c>
      <c r="X9" s="26">
        <f ca="1">W$9*IF(X$4&lt;=OFFSET(Choices!$B$20,0,$C$1),1+OFFSET(Choices!$B$21,0,$C$1),X$15*(1-X$20)*X$23/(W$15*(1-W$20)*W$23)*(1+X$27))</f>
        <v>278.87090771054324</v>
      </c>
      <c r="Y9" s="26">
        <f ca="1">X$9*IF(Y$4&lt;=OFFSET(Choices!$B$20,0,$C$1),1+OFFSET(Choices!$B$21,0,$C$1),Y$15*(1-Y$20)*Y$23/(X$15*(1-X$20)*X$23)*(1+Y$27))</f>
        <v>285.40615348150419</v>
      </c>
      <c r="Z9" s="26">
        <f ca="1">Y$9*IF(Z$4&lt;=OFFSET(Choices!$B$20,0,$C$1),1+OFFSET(Choices!$B$21,0,$C$1),Z$15*(1-Z$20)*Z$23/(Y$15*(1-Y$20)*Y$23)*(1+Z$27))</f>
        <v>291.92249318387201</v>
      </c>
      <c r="AA9" s="26">
        <f ca="1">Z$9*IF(AA$4&lt;=OFFSET(Choices!$B$20,0,$C$1),1+OFFSET(Choices!$B$21,0,$C$1),AA$15*(1-AA$20)*AA$23/(Z$15*(1-Z$20)*Z$23)*(1+AA$27))</f>
        <v>298.41975361411369</v>
      </c>
      <c r="AB9" s="26">
        <f ca="1">AA$9*IF(AB$4&lt;=OFFSET(Choices!$B$20,0,$C$1),1+OFFSET(Choices!$B$21,0,$C$1),AB$15*(1-AB$20)*AB$23/(AA$15*(1-AA$20)*AA$23)*(1+AB$27))</f>
        <v>304.84312228702146</v>
      </c>
      <c r="AC9" s="26">
        <f ca="1">AB$9*IF(AC$4&lt;=OFFSET(Choices!$B$20,0,$C$1),1+OFFSET(Choices!$B$21,0,$C$1),AC$15*(1-AC$20)*AC$23/(AB$15*(1-AB$20)*AB$23)*(1+AC$27))</f>
        <v>311.24996917857379</v>
      </c>
      <c r="AD9" s="26"/>
      <c r="AE9" s="26"/>
    </row>
    <row r="10" spans="1:31" x14ac:dyDescent="0.2">
      <c r="A10" s="4" t="s">
        <v>205</v>
      </c>
      <c r="G10" s="52">
        <f>G9/F9-1</f>
        <v>2.0024933769674291E-2</v>
      </c>
      <c r="H10" s="52">
        <f t="shared" ref="H10:AC10" si="2">H9/G9-1</f>
        <v>-1.9835510401548184E-2</v>
      </c>
      <c r="I10" s="52">
        <f t="shared" si="2"/>
        <v>8.4532654439652966E-3</v>
      </c>
      <c r="J10" s="52">
        <f t="shared" si="2"/>
        <v>1.0051675193331056E-2</v>
      </c>
      <c r="K10" s="52">
        <f t="shared" si="2"/>
        <v>2.5651881171957935E-2</v>
      </c>
      <c r="L10" s="52">
        <f t="shared" si="2"/>
        <v>2.107650303117703E-2</v>
      </c>
      <c r="M10" s="52">
        <f t="shared" si="2"/>
        <v>2.8853225531500382E-2</v>
      </c>
      <c r="N10" s="52">
        <f t="shared" si="2"/>
        <v>2.9535265741648109E-2</v>
      </c>
      <c r="O10" s="51">
        <f>O9/N9-1</f>
        <v>2.0917058277158951E-2</v>
      </c>
      <c r="P10" s="51">
        <f>P9/O9-1</f>
        <v>2.5929278871488659E-2</v>
      </c>
      <c r="Q10" s="51">
        <f>Q9/P9-1</f>
        <v>3.7443367400695315E-2</v>
      </c>
      <c r="R10" s="51">
        <f>R9/Q9-1</f>
        <v>2.6524143826196722E-2</v>
      </c>
      <c r="S10" s="51">
        <f>S9/R9-1</f>
        <v>2.1238266805726713E-2</v>
      </c>
      <c r="T10" s="30">
        <f t="shared" ca="1" si="2"/>
        <v>2.35387842061483E-2</v>
      </c>
      <c r="U10" s="30">
        <f t="shared" ca="1" si="2"/>
        <v>2.3853520742375345E-2</v>
      </c>
      <c r="V10" s="30">
        <f t="shared" ca="1" si="2"/>
        <v>2.4402370646357197E-2</v>
      </c>
      <c r="W10" s="30">
        <f t="shared" ca="1" si="2"/>
        <v>2.4077292517942439E-2</v>
      </c>
      <c r="X10" s="30">
        <f t="shared" ca="1" si="2"/>
        <v>2.393857704504021E-2</v>
      </c>
      <c r="Y10" s="30">
        <f t="shared" ca="1" si="2"/>
        <v>2.3434663101338238E-2</v>
      </c>
      <c r="Z10" s="30">
        <f t="shared" ca="1" si="2"/>
        <v>2.2831812218758296E-2</v>
      </c>
      <c r="AA10" s="30">
        <f t="shared" ca="1" si="2"/>
        <v>2.2256799602452304E-2</v>
      </c>
      <c r="AB10" s="30">
        <f t="shared" ca="1" si="2"/>
        <v>2.15246095310897E-2</v>
      </c>
      <c r="AC10" s="30">
        <f t="shared" ca="1" si="2"/>
        <v>2.1016865473251656E-2</v>
      </c>
      <c r="AD10" s="26"/>
      <c r="AE10" s="26"/>
    </row>
    <row r="11" spans="1:31" x14ac:dyDescent="0.2">
      <c r="A11" s="31" t="s">
        <v>166</v>
      </c>
      <c r="B11" s="4" t="str">
        <f>$B$9</f>
        <v>From Economic Forecasts</v>
      </c>
      <c r="F11" s="21">
        <f>'Economic Forecasts'!F$7</f>
        <v>174.96700000000001</v>
      </c>
      <c r="G11" s="21">
        <f>'Economic Forecasts'!G$7</f>
        <v>188.107</v>
      </c>
      <c r="H11" s="21">
        <f>'Economic Forecasts'!H$7</f>
        <v>187.494</v>
      </c>
      <c r="I11" s="21">
        <f>'Economic Forecasts'!I$7</f>
        <v>195.40199999999999</v>
      </c>
      <c r="J11" s="21">
        <f>'Economic Forecasts'!J$7</f>
        <v>203.76300000000001</v>
      </c>
      <c r="K11" s="21">
        <f>'Economic Forecasts'!K$7</f>
        <v>212.32599999999999</v>
      </c>
      <c r="L11" s="21">
        <f>'Economic Forecasts'!L$7</f>
        <v>216.602</v>
      </c>
      <c r="M11" s="21">
        <f>'Economic Forecasts'!M$7</f>
        <v>233.964</v>
      </c>
      <c r="N11" s="21">
        <f>'Economic Forecasts'!N$7</f>
        <v>240.59100000000001</v>
      </c>
      <c r="O11" s="24">
        <f>'Economic Forecasts'!O$7</f>
        <v>244.923</v>
      </c>
      <c r="P11" s="24">
        <f>'Economic Forecasts'!P$7</f>
        <v>254.97200000000001</v>
      </c>
      <c r="Q11" s="24">
        <f>'Economic Forecasts'!Q$7</f>
        <v>271.233</v>
      </c>
      <c r="R11" s="24">
        <f>'Economic Forecasts'!R$7</f>
        <v>284.87400000000002</v>
      </c>
      <c r="S11" s="24">
        <f>'Economic Forecasts'!S$7</f>
        <v>296.3</v>
      </c>
      <c r="T11" s="26">
        <f t="shared" ref="T11:AC11" ca="1" si="3">S$11*T$9/S$9*(1+T$30)</f>
        <v>309.45946890150884</v>
      </c>
      <c r="U11" s="26">
        <f t="shared" ca="1" si="3"/>
        <v>323.17799009711297</v>
      </c>
      <c r="V11" s="26">
        <f t="shared" ca="1" si="3"/>
        <v>337.68558518013162</v>
      </c>
      <c r="W11" s="26">
        <f t="shared" ca="1" si="3"/>
        <v>352.7324625894783</v>
      </c>
      <c r="X11" s="26">
        <f t="shared" ca="1" si="3"/>
        <v>368.39990333789257</v>
      </c>
      <c r="Y11" s="26">
        <f t="shared" ca="1" si="3"/>
        <v>384.57389557836524</v>
      </c>
      <c r="Z11" s="26">
        <f t="shared" ca="1" si="3"/>
        <v>401.22150283737579</v>
      </c>
      <c r="AA11" s="26">
        <f t="shared" ca="1" si="3"/>
        <v>418.35443761066642</v>
      </c>
      <c r="AB11" s="26">
        <f t="shared" ca="1" si="3"/>
        <v>435.90654059635136</v>
      </c>
      <c r="AC11" s="26">
        <f t="shared" ca="1" si="3"/>
        <v>453.96928831335492</v>
      </c>
      <c r="AD11" s="26"/>
      <c r="AE11" s="26"/>
    </row>
    <row r="12" spans="1:31" x14ac:dyDescent="0.2">
      <c r="A12" s="4" t="s">
        <v>205</v>
      </c>
      <c r="G12" s="52">
        <f>G11/F11-1</f>
        <v>7.5099875976612607E-2</v>
      </c>
      <c r="H12" s="52">
        <f t="shared" ref="H12:AC12" si="4">H11/G11-1</f>
        <v>-3.2587835646732399E-3</v>
      </c>
      <c r="I12" s="52">
        <f t="shared" si="4"/>
        <v>4.2177349675189602E-2</v>
      </c>
      <c r="J12" s="52">
        <f t="shared" si="4"/>
        <v>4.2788712500383852E-2</v>
      </c>
      <c r="K12" s="52">
        <f t="shared" si="4"/>
        <v>4.2024312559198584E-2</v>
      </c>
      <c r="L12" s="52">
        <f t="shared" si="4"/>
        <v>2.0138843099761772E-2</v>
      </c>
      <c r="M12" s="52">
        <f t="shared" si="4"/>
        <v>8.0156231244402187E-2</v>
      </c>
      <c r="N12" s="52">
        <f t="shared" si="4"/>
        <v>2.8324870492896448E-2</v>
      </c>
      <c r="O12" s="51">
        <f>O11/N11-1</f>
        <v>1.8005661059640632E-2</v>
      </c>
      <c r="P12" s="51">
        <f>P11/O11-1</f>
        <v>4.102922142877552E-2</v>
      </c>
      <c r="Q12" s="51">
        <f>Q11/P11-1</f>
        <v>6.37756302652841E-2</v>
      </c>
      <c r="R12" s="51">
        <f>R11/Q11-1</f>
        <v>5.0292552897324594E-2</v>
      </c>
      <c r="S12" s="51">
        <f>S11/R11-1</f>
        <v>4.0108960452691411E-2</v>
      </c>
      <c r="T12" s="30">
        <f t="shared" ca="1" si="4"/>
        <v>4.4412652384437479E-2</v>
      </c>
      <c r="U12" s="30">
        <f t="shared" ca="1" si="4"/>
        <v>4.4330591157222932E-2</v>
      </c>
      <c r="V12" s="30">
        <f t="shared" ca="1" si="4"/>
        <v>4.4890418059284398E-2</v>
      </c>
      <c r="W12" s="30">
        <f t="shared" ca="1" si="4"/>
        <v>4.4558838368301101E-2</v>
      </c>
      <c r="X12" s="30">
        <f t="shared" ca="1" si="4"/>
        <v>4.441734858594093E-2</v>
      </c>
      <c r="Y12" s="30">
        <f t="shared" ca="1" si="4"/>
        <v>4.3903356363364843E-2</v>
      </c>
      <c r="Z12" s="30">
        <f t="shared" ca="1" si="4"/>
        <v>4.3288448463133511E-2</v>
      </c>
      <c r="AA12" s="30">
        <f t="shared" ca="1" si="4"/>
        <v>4.2701935594501306E-2</v>
      </c>
      <c r="AB12" s="30">
        <f t="shared" ca="1" si="4"/>
        <v>4.1955101721711463E-2</v>
      </c>
      <c r="AC12" s="30">
        <f t="shared" ca="1" si="4"/>
        <v>4.1437202782716787E-2</v>
      </c>
      <c r="AD12" s="26"/>
      <c r="AE12" s="26"/>
    </row>
    <row r="13" spans="1:31" x14ac:dyDescent="0.2">
      <c r="A13" s="4" t="s">
        <v>1187</v>
      </c>
      <c r="F13" s="98">
        <f>1/F$11</f>
        <v>5.715363468539781E-3</v>
      </c>
      <c r="G13" s="98">
        <f t="shared" ref="G13:AC13" si="5">1/G$11</f>
        <v>5.3161232702663907E-3</v>
      </c>
      <c r="H13" s="98">
        <f t="shared" si="5"/>
        <v>5.3335040054615082E-3</v>
      </c>
      <c r="I13" s="98">
        <f t="shared" si="5"/>
        <v>5.11765488582512E-3</v>
      </c>
      <c r="J13" s="98">
        <f t="shared" si="5"/>
        <v>4.9076623332008264E-3</v>
      </c>
      <c r="K13" s="98">
        <f t="shared" si="5"/>
        <v>4.709738797886269E-3</v>
      </c>
      <c r="L13" s="98">
        <f t="shared" si="5"/>
        <v>4.6167625414354433E-3</v>
      </c>
      <c r="M13" s="98">
        <f t="shared" si="5"/>
        <v>4.2741618368637912E-3</v>
      </c>
      <c r="N13" s="98">
        <f t="shared" si="5"/>
        <v>4.1564314542106729E-3</v>
      </c>
      <c r="O13" s="99">
        <f t="shared" si="5"/>
        <v>4.0829158551871402E-3</v>
      </c>
      <c r="P13" s="99">
        <f t="shared" si="5"/>
        <v>3.9219992783521328E-3</v>
      </c>
      <c r="Q13" s="99">
        <f t="shared" si="5"/>
        <v>3.6868670110200455E-3</v>
      </c>
      <c r="R13" s="99">
        <f t="shared" si="5"/>
        <v>3.5103238624795523E-3</v>
      </c>
      <c r="S13" s="99">
        <f t="shared" si="5"/>
        <v>3.3749578130273369E-3</v>
      </c>
      <c r="T13" s="100">
        <f t="shared" ca="1" si="5"/>
        <v>3.2314409494390633E-3</v>
      </c>
      <c r="U13" s="100">
        <f t="shared" ca="1" si="5"/>
        <v>3.0942701255723083E-3</v>
      </c>
      <c r="V13" s="100">
        <f t="shared" ca="1" si="5"/>
        <v>2.9613345783373311E-3</v>
      </c>
      <c r="W13" s="100">
        <f t="shared" ca="1" si="5"/>
        <v>2.8350098333983879E-3</v>
      </c>
      <c r="X13" s="100">
        <f t="shared" ca="1" si="5"/>
        <v>2.7144415374148736E-3</v>
      </c>
      <c r="Y13" s="100">
        <f t="shared" ca="1" si="5"/>
        <v>2.6002804961477903E-3</v>
      </c>
      <c r="Z13" s="100">
        <f t="shared" ca="1" si="5"/>
        <v>2.4923888498700995E-3</v>
      </c>
      <c r="AA13" s="100">
        <f t="shared" ca="1" si="5"/>
        <v>2.3903176591391411E-3</v>
      </c>
      <c r="AB13" s="100">
        <f t="shared" ca="1" si="5"/>
        <v>2.2940697302498109E-3</v>
      </c>
      <c r="AC13" s="100">
        <f t="shared" ca="1" si="5"/>
        <v>2.2027921838398555E-3</v>
      </c>
      <c r="AD13" s="26"/>
      <c r="AE13" s="26"/>
    </row>
    <row r="14" spans="1:31" x14ac:dyDescent="0.2">
      <c r="A14" s="5" t="s">
        <v>206</v>
      </c>
      <c r="G14" s="51"/>
      <c r="H14" s="51"/>
      <c r="I14" s="51"/>
      <c r="J14" s="51"/>
      <c r="K14" s="51"/>
      <c r="L14" s="51"/>
      <c r="M14" s="51"/>
      <c r="N14" s="51"/>
      <c r="O14" s="52"/>
      <c r="P14" s="52"/>
      <c r="Q14" s="52"/>
      <c r="R14" s="52"/>
      <c r="AD14" s="26"/>
      <c r="AE14" s="26"/>
    </row>
    <row r="15" spans="1:31" x14ac:dyDescent="0.2">
      <c r="A15" s="2" t="s">
        <v>207</v>
      </c>
      <c r="B15" s="4" t="str">
        <f>$B$9</f>
        <v>From Economic Forecasts</v>
      </c>
      <c r="F15" s="21">
        <f>'Economic Forecasts'!F$8</f>
        <v>2.2334999999999998</v>
      </c>
      <c r="G15" s="21">
        <f>'Economic Forecasts'!G$8</f>
        <v>2.2613000000000003</v>
      </c>
      <c r="H15" s="21">
        <f>'Economic Forecasts'!H$8</f>
        <v>2.2865000000000002</v>
      </c>
      <c r="I15" s="21">
        <f>'Economic Forecasts'!I$8</f>
        <v>2.2955000000000001</v>
      </c>
      <c r="J15" s="21">
        <f>'Economic Forecasts'!J$8</f>
        <v>2.3275000000000001</v>
      </c>
      <c r="K15" s="21">
        <f>'Economic Forecasts'!K$8</f>
        <v>2.3490000000000002</v>
      </c>
      <c r="L15" s="21">
        <f>'Economic Forecasts'!L$8</f>
        <v>2.3548</v>
      </c>
      <c r="M15" s="21">
        <f>'Economic Forecasts'!M$8</f>
        <v>2.4123000000000001</v>
      </c>
      <c r="N15" s="21">
        <f>'Economic Forecasts'!N$8</f>
        <v>2.4838</v>
      </c>
      <c r="O15" s="24">
        <f>'Economic Forecasts'!O$8</f>
        <v>2.5174000000000003</v>
      </c>
      <c r="P15" s="24">
        <f>'Economic Forecasts'!P$8</f>
        <v>2.5529000000000002</v>
      </c>
      <c r="Q15" s="24">
        <f>'Economic Forecasts'!Q$8</f>
        <v>2.5861000000000001</v>
      </c>
      <c r="R15" s="24">
        <f>'Economic Forecasts'!R$8</f>
        <v>2.6258000000000004</v>
      </c>
      <c r="S15" s="24">
        <f>'Economic Forecasts'!S$8</f>
        <v>2.6551999999999998</v>
      </c>
      <c r="T15" s="26">
        <f>S$15*LF!T$10/LF!S$10</f>
        <v>2.6805497403830048</v>
      </c>
      <c r="U15" s="26">
        <f>T$15*LF!U$10/LF!T$10</f>
        <v>2.7056029925743954</v>
      </c>
      <c r="V15" s="26">
        <f>U$15*LF!V$10/LF!U$10</f>
        <v>2.7306661277055069</v>
      </c>
      <c r="W15" s="26">
        <f>V$15*LF!W$10/LF!V$10</f>
        <v>2.7550868717547874</v>
      </c>
      <c r="X15" s="26">
        <f>W$15*LF!X$10/LF!W$10</f>
        <v>2.7793494887685406</v>
      </c>
      <c r="Y15" s="26">
        <f>X$15*LF!Y$10/LF!X$10</f>
        <v>2.8024459188952786</v>
      </c>
      <c r="Z15" s="26">
        <f>Y$15*LF!Z$10/LF!Y$10</f>
        <v>2.8240697910036663</v>
      </c>
      <c r="AA15" s="26">
        <f>Z$15*LF!AA$10/LF!Z$10</f>
        <v>2.8442606368525856</v>
      </c>
      <c r="AB15" s="26">
        <f>AA$15*LF!AB$10/LF!AA$10</f>
        <v>2.8625440753354545</v>
      </c>
      <c r="AC15" s="26">
        <f>AB$15*LF!AC$10/LF!AB$10</f>
        <v>2.8795130828355013</v>
      </c>
      <c r="AD15" s="26"/>
      <c r="AE15" s="26"/>
    </row>
    <row r="16" spans="1:31" x14ac:dyDescent="0.2">
      <c r="A16" s="4" t="s">
        <v>205</v>
      </c>
      <c r="G16" s="52">
        <f t="shared" ref="G16:AC16" si="6">G15/F15-1</f>
        <v>1.2446832325946122E-2</v>
      </c>
      <c r="H16" s="52">
        <f t="shared" si="6"/>
        <v>1.1144032193870723E-2</v>
      </c>
      <c r="I16" s="52">
        <f t="shared" si="6"/>
        <v>3.9361469494860746E-3</v>
      </c>
      <c r="J16" s="52">
        <f t="shared" si="6"/>
        <v>1.3940318013504704E-2</v>
      </c>
      <c r="K16" s="52">
        <f t="shared" si="6"/>
        <v>9.2373791621911394E-3</v>
      </c>
      <c r="L16" s="52">
        <f t="shared" si="6"/>
        <v>2.4691358024691024E-3</v>
      </c>
      <c r="M16" s="52">
        <f t="shared" si="6"/>
        <v>2.4418209614404773E-2</v>
      </c>
      <c r="N16" s="52">
        <f t="shared" si="6"/>
        <v>2.9639762881896958E-2</v>
      </c>
      <c r="O16" s="51">
        <f t="shared" si="6"/>
        <v>1.3527659231822309E-2</v>
      </c>
      <c r="P16" s="51">
        <f t="shared" si="6"/>
        <v>1.4101851116230968E-2</v>
      </c>
      <c r="Q16" s="51">
        <f t="shared" si="6"/>
        <v>1.3004818050060596E-2</v>
      </c>
      <c r="R16" s="51">
        <f t="shared" si="6"/>
        <v>1.5351301187115807E-2</v>
      </c>
      <c r="S16" s="51">
        <f t="shared" si="6"/>
        <v>1.1196587706603589E-2</v>
      </c>
      <c r="T16" s="30">
        <f t="shared" si="6"/>
        <v>9.5472056278265161E-3</v>
      </c>
      <c r="U16" s="30">
        <f t="shared" si="6"/>
        <v>9.3463112487557343E-3</v>
      </c>
      <c r="V16" s="30">
        <f t="shared" si="6"/>
        <v>9.2634193560170441E-3</v>
      </c>
      <c r="W16" s="30">
        <f t="shared" si="6"/>
        <v>8.9431453378741033E-3</v>
      </c>
      <c r="X16" s="30">
        <f t="shared" si="6"/>
        <v>8.8064798473304062E-3</v>
      </c>
      <c r="Y16" s="30">
        <f t="shared" si="6"/>
        <v>8.310012907722264E-3</v>
      </c>
      <c r="Z16" s="30">
        <f t="shared" si="6"/>
        <v>7.7160711514860925E-3</v>
      </c>
      <c r="AA16" s="30">
        <f t="shared" si="6"/>
        <v>7.1495562585737193E-3</v>
      </c>
      <c r="AB16" s="30">
        <f t="shared" si="6"/>
        <v>6.4281867301376749E-3</v>
      </c>
      <c r="AC16" s="30">
        <f t="shared" si="6"/>
        <v>5.9279462790657877E-3</v>
      </c>
      <c r="AD16" s="26"/>
      <c r="AE16" s="26"/>
    </row>
    <row r="17" spans="1:31" x14ac:dyDescent="0.2">
      <c r="A17" s="2" t="s">
        <v>208</v>
      </c>
      <c r="B17" s="4" t="str">
        <f>$B$9</f>
        <v>From Economic Forecasts</v>
      </c>
      <c r="F17" s="21">
        <f>'Economic Forecasts'!F$9</f>
        <v>3.2725999999999997</v>
      </c>
      <c r="G17" s="21">
        <f>'Economic Forecasts'!G$9</f>
        <v>3.3045999999999998</v>
      </c>
      <c r="H17" s="21">
        <f>'Economic Forecasts'!H$9</f>
        <v>3.3358000000000003</v>
      </c>
      <c r="I17" s="21">
        <f>'Economic Forecasts'!I$9</f>
        <v>3.3767</v>
      </c>
      <c r="J17" s="21">
        <f>'Economic Forecasts'!J$9</f>
        <v>3.4116</v>
      </c>
      <c r="K17" s="21">
        <f>'Economic Forecasts'!K$9</f>
        <v>3.4369999999999998</v>
      </c>
      <c r="L17" s="21">
        <f>'Economic Forecasts'!L$9</f>
        <v>3.4639000000000002</v>
      </c>
      <c r="M17" s="21">
        <f>'Economic Forecasts'!M$9</f>
        <v>3.5129999999999999</v>
      </c>
      <c r="N17" s="21">
        <f>'Economic Forecasts'!N$9</f>
        <v>3.5856999999999997</v>
      </c>
      <c r="O17" s="24">
        <f>'Economic Forecasts'!O$9</f>
        <v>3.6663000000000001</v>
      </c>
      <c r="P17" s="24">
        <f>'Economic Forecasts'!P$9</f>
        <v>3.7277</v>
      </c>
      <c r="Q17" s="24">
        <f>'Economic Forecasts'!Q$9</f>
        <v>3.7693000000000003</v>
      </c>
      <c r="R17" s="24">
        <f>'Economic Forecasts'!R$9</f>
        <v>3.8090000000000002</v>
      </c>
      <c r="S17" s="24">
        <f>'Economic Forecasts'!S$9</f>
        <v>3.8488000000000002</v>
      </c>
      <c r="T17" s="26">
        <f>S$17*LF!T$9/LF!S$9</f>
        <v>3.8879325358851671</v>
      </c>
      <c r="U17" s="26">
        <f>T$17*LF!U$9/LF!T$9</f>
        <v>3.9292879499763842</v>
      </c>
      <c r="V17" s="26">
        <f>U$17*LF!V$9/LF!U$9</f>
        <v>3.9725698585128439</v>
      </c>
      <c r="W17" s="26">
        <f>V$17*LF!W$9/LF!V$9</f>
        <v>4.0149132184734162</v>
      </c>
      <c r="X17" s="26">
        <f>W$17*LF!X$9/LF!W$9</f>
        <v>4.0575826005708757</v>
      </c>
      <c r="Y17" s="26">
        <f>X$17*LF!Y$9/LF!X$9</f>
        <v>4.0979599482514306</v>
      </c>
      <c r="Z17" s="26">
        <f>Y$17*LF!Z$9/LF!Y$9</f>
        <v>4.1366973057888563</v>
      </c>
      <c r="AA17" s="26">
        <f>Z$17*LF!AA$9/LF!Z$9</f>
        <v>4.1735773250918928</v>
      </c>
      <c r="AB17" s="26">
        <f>AA$17*LF!AB$9/LF!AA$9</f>
        <v>4.2080763948497841</v>
      </c>
      <c r="AC17" s="26">
        <f>AB$17*LF!AC$9/LF!AB$9</f>
        <v>4.2409157155471577</v>
      </c>
      <c r="AD17" s="26"/>
      <c r="AE17" s="26"/>
    </row>
    <row r="18" spans="1:31" x14ac:dyDescent="0.2">
      <c r="A18" s="4" t="s">
        <v>205</v>
      </c>
      <c r="G18" s="52">
        <f>G17/F17-1</f>
        <v>9.7781580394793455E-3</v>
      </c>
      <c r="H18" s="52">
        <f t="shared" ref="H18:N18" si="7">H17/G17-1</f>
        <v>9.4413847364280823E-3</v>
      </c>
      <c r="I18" s="52">
        <f t="shared" si="7"/>
        <v>1.2260926914083425E-2</v>
      </c>
      <c r="J18" s="52">
        <f t="shared" si="7"/>
        <v>1.0335534693635795E-2</v>
      </c>
      <c r="K18" s="52">
        <f t="shared" si="7"/>
        <v>7.4451870090279648E-3</v>
      </c>
      <c r="L18" s="52">
        <f t="shared" si="7"/>
        <v>7.8265929589760308E-3</v>
      </c>
      <c r="M18" s="52">
        <f t="shared" si="7"/>
        <v>1.4174774098559384E-2</v>
      </c>
      <c r="N18" s="52">
        <f t="shared" si="7"/>
        <v>2.0694563051522952E-2</v>
      </c>
      <c r="O18" s="51">
        <f t="shared" ref="O18:AC18" si="8">O17/N17-1</f>
        <v>2.2478177203893335E-2</v>
      </c>
      <c r="P18" s="51">
        <f t="shared" si="8"/>
        <v>1.6747129258380289E-2</v>
      </c>
      <c r="Q18" s="51">
        <f t="shared" si="8"/>
        <v>1.1159696327494251E-2</v>
      </c>
      <c r="R18" s="51">
        <f t="shared" si="8"/>
        <v>1.0532459607884626E-2</v>
      </c>
      <c r="S18" s="51">
        <f t="shared" si="8"/>
        <v>1.0448936728800318E-2</v>
      </c>
      <c r="T18" s="30">
        <f t="shared" si="8"/>
        <v>1.0167464114832381E-2</v>
      </c>
      <c r="U18" s="30">
        <f t="shared" si="8"/>
        <v>1.0636865148639041E-2</v>
      </c>
      <c r="V18" s="30">
        <f t="shared" si="8"/>
        <v>1.101520404904921E-2</v>
      </c>
      <c r="W18" s="30">
        <f t="shared" si="8"/>
        <v>1.0658934007122367E-2</v>
      </c>
      <c r="X18" s="30">
        <f t="shared" si="8"/>
        <v>1.0627722138832008E-2</v>
      </c>
      <c r="Y18" s="30">
        <f t="shared" si="8"/>
        <v>9.9510845878711951E-3</v>
      </c>
      <c r="Z18" s="30">
        <f t="shared" si="8"/>
        <v>9.4528394680759575E-3</v>
      </c>
      <c r="AA18" s="30">
        <f t="shared" si="8"/>
        <v>8.9153294468578004E-3</v>
      </c>
      <c r="AB18" s="30">
        <f t="shared" si="8"/>
        <v>8.2660669901766237E-3</v>
      </c>
      <c r="AC18" s="30">
        <f t="shared" si="8"/>
        <v>7.8038794014207991E-3</v>
      </c>
      <c r="AD18" s="26"/>
      <c r="AE18" s="26"/>
    </row>
    <row r="19" spans="1:31" x14ac:dyDescent="0.2">
      <c r="A19" s="2" t="s">
        <v>210</v>
      </c>
      <c r="F19" s="52">
        <f>F$15/F$17</f>
        <v>0.68248487441178263</v>
      </c>
      <c r="G19" s="52">
        <f t="shared" ref="G19:AC19" si="9">G$15/G$17</f>
        <v>0.68428856745143152</v>
      </c>
      <c r="H19" s="52">
        <f t="shared" si="9"/>
        <v>0.68544277234846218</v>
      </c>
      <c r="I19" s="52">
        <f t="shared" si="9"/>
        <v>0.67980572748541479</v>
      </c>
      <c r="J19" s="52">
        <f t="shared" si="9"/>
        <v>0.68223121116191821</v>
      </c>
      <c r="K19" s="52">
        <f t="shared" si="9"/>
        <v>0.68344486470759391</v>
      </c>
      <c r="L19" s="52">
        <f t="shared" si="9"/>
        <v>0.67981177285718408</v>
      </c>
      <c r="M19" s="52">
        <f t="shared" si="9"/>
        <v>0.68667805294619988</v>
      </c>
      <c r="N19" s="52">
        <f t="shared" si="9"/>
        <v>0.69269598683660105</v>
      </c>
      <c r="O19" s="51">
        <f t="shared" si="9"/>
        <v>0.68663229959359573</v>
      </c>
      <c r="P19" s="51">
        <f t="shared" si="9"/>
        <v>0.68484588352066966</v>
      </c>
      <c r="Q19" s="51">
        <f t="shared" si="9"/>
        <v>0.68609556151009465</v>
      </c>
      <c r="R19" s="51">
        <f t="shared" si="9"/>
        <v>0.68936728800210034</v>
      </c>
      <c r="S19" s="51">
        <f t="shared" si="9"/>
        <v>0.68987736437331104</v>
      </c>
      <c r="T19" s="30">
        <f t="shared" si="9"/>
        <v>0.68945376897408617</v>
      </c>
      <c r="U19" s="30">
        <f t="shared" si="9"/>
        <v>0.68857335655195662</v>
      </c>
      <c r="V19" s="30">
        <f t="shared" si="9"/>
        <v>0.6873802664172024</v>
      </c>
      <c r="W19" s="30">
        <f t="shared" si="9"/>
        <v>0.68621330570187256</v>
      </c>
      <c r="X19" s="30">
        <f t="shared" si="9"/>
        <v>0.68497668744377604</v>
      </c>
      <c r="Y19" s="30">
        <f t="shared" si="9"/>
        <v>0.68386366735747661</v>
      </c>
      <c r="Z19" s="30">
        <f t="shared" si="9"/>
        <v>0.68268707672946938</v>
      </c>
      <c r="AA19" s="30">
        <f t="shared" si="9"/>
        <v>0.68149225839249572</v>
      </c>
      <c r="AB19" s="30">
        <f t="shared" si="9"/>
        <v>0.68025002560288328</v>
      </c>
      <c r="AC19" s="30">
        <f t="shared" si="9"/>
        <v>0.67898380349301291</v>
      </c>
      <c r="AD19" s="26"/>
      <c r="AE19" s="26"/>
    </row>
    <row r="20" spans="1:31" x14ac:dyDescent="0.2">
      <c r="A20" s="2" t="s">
        <v>212</v>
      </c>
      <c r="B20" s="4" t="str">
        <f>$B$9</f>
        <v>From Economic Forecasts</v>
      </c>
      <c r="F20" s="52">
        <f>'Economic Forecasts'!F$11</f>
        <v>3.8300000000000001E-2</v>
      </c>
      <c r="G20" s="52">
        <f>'Economic Forecasts'!G$11</f>
        <v>3.73E-2</v>
      </c>
      <c r="H20" s="52">
        <f>'Economic Forecasts'!H$11</f>
        <v>0.05</v>
      </c>
      <c r="I20" s="52">
        <f>'Economic Forecasts'!I$11</f>
        <v>6.6299999999999998E-2</v>
      </c>
      <c r="J20" s="52">
        <f>'Economic Forecasts'!J$11</f>
        <v>6.5500000000000003E-2</v>
      </c>
      <c r="K20" s="52">
        <f>'Economic Forecasts'!K$11</f>
        <v>6.6299999999999998E-2</v>
      </c>
      <c r="L20" s="52">
        <f>'Economic Forecasts'!L$11</f>
        <v>6.6500000000000004E-2</v>
      </c>
      <c r="M20" s="52">
        <f>'Economic Forecasts'!M$11</f>
        <v>0.06</v>
      </c>
      <c r="N20" s="52">
        <f>'Economic Forecasts'!N$11</f>
        <v>5.7500000000000002E-2</v>
      </c>
      <c r="O20" s="51">
        <f>'Economic Forecasts'!O$11</f>
        <v>6.2899999999999998E-2</v>
      </c>
      <c r="P20" s="51">
        <f>'Economic Forecasts'!P$11</f>
        <v>6.1699999999999998E-2</v>
      </c>
      <c r="Q20" s="51">
        <f>'Economic Forecasts'!Q$11</f>
        <v>5.4299999999999994E-2</v>
      </c>
      <c r="R20" s="51">
        <f>'Economic Forecasts'!R$11</f>
        <v>4.7100000000000003E-2</v>
      </c>
      <c r="S20" s="51">
        <f>'Economic Forecasts'!S$11</f>
        <v>4.5400000000000003E-2</v>
      </c>
      <c r="T20" s="30">
        <f ca="1">S$20+MIN(OFFSET(Choices!$B$24,0,$C$1),ABS(OFFSET(Choices!$B$13,0,$C$1)-S$20))*SIGN(OFFSET(Choices!$B$13,0,$C$1)-S$20)</f>
        <v>4.4999999999999998E-2</v>
      </c>
      <c r="U20" s="30">
        <f ca="1">T$20+MIN(OFFSET(Choices!$B$24,0,$C$1),ABS(OFFSET(Choices!$B$13,0,$C$1)-T$20))*SIGN(OFFSET(Choices!$B$13,0,$C$1)-T$20)</f>
        <v>4.4999999999999998E-2</v>
      </c>
      <c r="V20" s="30">
        <f ca="1">U$20+MIN(OFFSET(Choices!$B$24,0,$C$1),ABS(OFFSET(Choices!$B$13,0,$C$1)-U$20))*SIGN(OFFSET(Choices!$B$13,0,$C$1)-U$20)</f>
        <v>4.4999999999999998E-2</v>
      </c>
      <c r="W20" s="30">
        <f ca="1">V$20+MIN(OFFSET(Choices!$B$24,0,$C$1),ABS(OFFSET(Choices!$B$13,0,$C$1)-V$20))*SIGN(OFFSET(Choices!$B$13,0,$C$1)-V$20)</f>
        <v>4.4999999999999998E-2</v>
      </c>
      <c r="X20" s="30">
        <f ca="1">W$20+MIN(OFFSET(Choices!$B$24,0,$C$1),ABS(OFFSET(Choices!$B$13,0,$C$1)-W$20))*SIGN(OFFSET(Choices!$B$13,0,$C$1)-W$20)</f>
        <v>4.4999999999999998E-2</v>
      </c>
      <c r="Y20" s="30">
        <f ca="1">X$20+MIN(OFFSET(Choices!$B$24,0,$C$1),ABS(OFFSET(Choices!$B$13,0,$C$1)-X$20))*SIGN(OFFSET(Choices!$B$13,0,$C$1)-X$20)</f>
        <v>4.4999999999999998E-2</v>
      </c>
      <c r="Z20" s="30">
        <f ca="1">Y$20+MIN(OFFSET(Choices!$B$24,0,$C$1),ABS(OFFSET(Choices!$B$13,0,$C$1)-Y$20))*SIGN(OFFSET(Choices!$B$13,0,$C$1)-Y$20)</f>
        <v>4.4999999999999998E-2</v>
      </c>
      <c r="AA20" s="30">
        <f ca="1">Z$20+MIN(OFFSET(Choices!$B$24,0,$C$1),ABS(OFFSET(Choices!$B$13,0,$C$1)-Z$20))*SIGN(OFFSET(Choices!$B$13,0,$C$1)-Z$20)</f>
        <v>4.4999999999999998E-2</v>
      </c>
      <c r="AB20" s="30">
        <f ca="1">AA$20+MIN(OFFSET(Choices!$B$24,0,$C$1),ABS(OFFSET(Choices!$B$13,0,$C$1)-AA$20))*SIGN(OFFSET(Choices!$B$13,0,$C$1)-AA$20)</f>
        <v>4.4999999999999998E-2</v>
      </c>
      <c r="AC20" s="30">
        <f ca="1">AB$20+MIN(OFFSET(Choices!$B$24,0,$C$1),ABS(OFFSET(Choices!$B$13,0,$C$1)-AB$20))*SIGN(OFFSET(Choices!$B$13,0,$C$1)-AB$20)</f>
        <v>4.4999999999999998E-2</v>
      </c>
      <c r="AD20" s="26"/>
      <c r="AE20" s="26"/>
    </row>
    <row r="21" spans="1:31" x14ac:dyDescent="0.2">
      <c r="A21" s="2" t="s">
        <v>211</v>
      </c>
      <c r="F21" s="21">
        <f>F$15*(1-F$20)</f>
        <v>2.1479569499999998</v>
      </c>
      <c r="G21" s="21">
        <f>G$15*(1-G$20)</f>
        <v>2.1769535100000001</v>
      </c>
      <c r="H21" s="21">
        <f t="shared" ref="H21:AC21" si="10">H$15*(1-H$20)</f>
        <v>2.1721750000000002</v>
      </c>
      <c r="I21" s="21">
        <f t="shared" si="10"/>
        <v>2.1433083499999999</v>
      </c>
      <c r="J21" s="21">
        <f t="shared" si="10"/>
        <v>2.1750487500000002</v>
      </c>
      <c r="K21" s="21">
        <f t="shared" si="10"/>
        <v>2.1932613000000001</v>
      </c>
      <c r="L21" s="21">
        <f t="shared" si="10"/>
        <v>2.1982058000000002</v>
      </c>
      <c r="M21" s="21">
        <f t="shared" si="10"/>
        <v>2.2675619999999999</v>
      </c>
      <c r="N21" s="21">
        <f t="shared" si="10"/>
        <v>2.3409814999999998</v>
      </c>
      <c r="O21" s="24">
        <f t="shared" si="10"/>
        <v>2.3590555400000004</v>
      </c>
      <c r="P21" s="24">
        <f t="shared" si="10"/>
        <v>2.3953860700000003</v>
      </c>
      <c r="Q21" s="24">
        <f t="shared" si="10"/>
        <v>2.4456747700000001</v>
      </c>
      <c r="R21" s="24">
        <f t="shared" si="10"/>
        <v>2.5021248200000001</v>
      </c>
      <c r="S21" s="24">
        <f t="shared" si="10"/>
        <v>2.5346539199999998</v>
      </c>
      <c r="T21" s="26">
        <f t="shared" ca="1" si="10"/>
        <v>2.5599250020657696</v>
      </c>
      <c r="U21" s="26">
        <f t="shared" ca="1" si="10"/>
        <v>2.5838508579085473</v>
      </c>
      <c r="V21" s="26">
        <f t="shared" ca="1" si="10"/>
        <v>2.6077861519587588</v>
      </c>
      <c r="W21" s="26">
        <f t="shared" ca="1" si="10"/>
        <v>2.6311079625258218</v>
      </c>
      <c r="X21" s="26">
        <f t="shared" ca="1" si="10"/>
        <v>2.6542787617739561</v>
      </c>
      <c r="Y21" s="26">
        <f t="shared" ca="1" si="10"/>
        <v>2.676335852544991</v>
      </c>
      <c r="Z21" s="26">
        <f t="shared" ca="1" si="10"/>
        <v>2.6969866504085012</v>
      </c>
      <c r="AA21" s="26">
        <f t="shared" ca="1" si="10"/>
        <v>2.7162689081942193</v>
      </c>
      <c r="AB21" s="26">
        <f t="shared" ca="1" si="10"/>
        <v>2.7337295919453588</v>
      </c>
      <c r="AC21" s="26">
        <f t="shared" ca="1" si="10"/>
        <v>2.7499349941079037</v>
      </c>
      <c r="AD21" s="26"/>
      <c r="AE21" s="26"/>
    </row>
    <row r="22" spans="1:31" x14ac:dyDescent="0.2">
      <c r="A22" s="4" t="s">
        <v>205</v>
      </c>
      <c r="G22" s="52">
        <f t="shared" ref="G22:AC22" si="11">G21/F21-1</f>
        <v>1.3499600166567705E-2</v>
      </c>
      <c r="H22" s="52">
        <f t="shared" si="11"/>
        <v>-2.1950445786046435E-3</v>
      </c>
      <c r="I22" s="52">
        <f t="shared" si="11"/>
        <v>-1.3289283782384143E-2</v>
      </c>
      <c r="J22" s="52">
        <f t="shared" si="11"/>
        <v>1.4809068419856741E-2</v>
      </c>
      <c r="K22" s="52">
        <f t="shared" si="11"/>
        <v>8.3733985272742562E-3</v>
      </c>
      <c r="L22" s="52">
        <f t="shared" si="11"/>
        <v>2.2544053460480384E-3</v>
      </c>
      <c r="M22" s="52">
        <f t="shared" si="11"/>
        <v>3.1551276955051E-2</v>
      </c>
      <c r="N22" s="52">
        <f t="shared" si="11"/>
        <v>3.2378166506582762E-2</v>
      </c>
      <c r="O22" s="51">
        <f t="shared" si="11"/>
        <v>7.7207103089027562E-3</v>
      </c>
      <c r="P22" s="51">
        <f t="shared" si="11"/>
        <v>1.5400455556887849E-2</v>
      </c>
      <c r="Q22" s="51">
        <f t="shared" si="11"/>
        <v>2.0993985324461617E-2</v>
      </c>
      <c r="R22" s="51">
        <f t="shared" si="11"/>
        <v>2.3081584964790736E-2</v>
      </c>
      <c r="S22" s="51">
        <f t="shared" si="11"/>
        <v>1.3000590434173231E-2</v>
      </c>
      <c r="T22" s="30">
        <f t="shared" ca="1" si="11"/>
        <v>9.9702298078507834E-3</v>
      </c>
      <c r="U22" s="30">
        <f t="shared" ca="1" si="11"/>
        <v>9.3463112487555122E-3</v>
      </c>
      <c r="V22" s="30">
        <f t="shared" ca="1" si="11"/>
        <v>9.2634193560170441E-3</v>
      </c>
      <c r="W22" s="30">
        <f t="shared" ca="1" si="11"/>
        <v>8.9431453378743253E-3</v>
      </c>
      <c r="X22" s="30">
        <f t="shared" ca="1" si="11"/>
        <v>8.8064798473304062E-3</v>
      </c>
      <c r="Y22" s="30">
        <f t="shared" ca="1" si="11"/>
        <v>8.310012907722264E-3</v>
      </c>
      <c r="Z22" s="30">
        <f t="shared" ca="1" si="11"/>
        <v>7.7160711514860925E-3</v>
      </c>
      <c r="AA22" s="30">
        <f t="shared" ca="1" si="11"/>
        <v>7.1495562585737193E-3</v>
      </c>
      <c r="AB22" s="30">
        <f t="shared" ca="1" si="11"/>
        <v>6.4281867301376749E-3</v>
      </c>
      <c r="AC22" s="30">
        <f t="shared" ca="1" si="11"/>
        <v>5.9279462790660098E-3</v>
      </c>
      <c r="AD22" s="26"/>
      <c r="AE22" s="26"/>
    </row>
    <row r="23" spans="1:31" x14ac:dyDescent="0.2">
      <c r="A23" s="31" t="s">
        <v>213</v>
      </c>
      <c r="B23" s="4" t="str">
        <f>$B$9</f>
        <v>From Economic Forecasts</v>
      </c>
      <c r="F23" s="40">
        <f>'Economic Forecasts'!F$12</f>
        <v>34.159999999999997</v>
      </c>
      <c r="G23" s="40">
        <f>'Economic Forecasts'!G$12</f>
        <v>33.72</v>
      </c>
      <c r="H23" s="40">
        <f>'Economic Forecasts'!H$12</f>
        <v>33.36</v>
      </c>
      <c r="I23" s="40">
        <f>'Economic Forecasts'!I$12</f>
        <v>33.24</v>
      </c>
      <c r="J23" s="40">
        <f>'Economic Forecasts'!J$12</f>
        <v>33.36</v>
      </c>
      <c r="K23" s="40">
        <f>'Economic Forecasts'!K$12</f>
        <v>33.21</v>
      </c>
      <c r="L23" s="40">
        <f>'Economic Forecasts'!L$12</f>
        <v>33.44</v>
      </c>
      <c r="M23" s="40">
        <f>'Economic Forecasts'!M$12</f>
        <v>33.44</v>
      </c>
      <c r="N23" s="40">
        <f>'Economic Forecasts'!N$12</f>
        <v>33.22</v>
      </c>
      <c r="O23" s="41">
        <f>'Economic Forecasts'!O$12</f>
        <v>33.31</v>
      </c>
      <c r="P23" s="41">
        <f>'Economic Forecasts'!P$12</f>
        <v>33.07</v>
      </c>
      <c r="Q23" s="41">
        <f>'Economic Forecasts'!Q$12</f>
        <v>32.94</v>
      </c>
      <c r="R23" s="41">
        <f>'Economic Forecasts'!R$12</f>
        <v>32.89</v>
      </c>
      <c r="S23" s="41">
        <f>'Economic Forecasts'!S$12</f>
        <v>32.869999999999997</v>
      </c>
      <c r="T23" s="50">
        <f t="shared" ref="T23:AC23" ca="1" si="12">S$23*T$25/S$25</f>
        <v>32.819305983960518</v>
      </c>
      <c r="U23" s="50">
        <f t="shared" ca="1" si="12"/>
        <v>32.799028377544722</v>
      </c>
      <c r="V23" s="50">
        <f t="shared" ca="1" si="12"/>
        <v>32.799028377544722</v>
      </c>
      <c r="W23" s="50">
        <f t="shared" ca="1" si="12"/>
        <v>32.799028377544722</v>
      </c>
      <c r="X23" s="50">
        <f t="shared" ca="1" si="12"/>
        <v>32.799028377544722</v>
      </c>
      <c r="Y23" s="50">
        <f t="shared" ca="1" si="12"/>
        <v>32.799028377544722</v>
      </c>
      <c r="Z23" s="50">
        <f t="shared" ca="1" si="12"/>
        <v>32.799028377544722</v>
      </c>
      <c r="AA23" s="50">
        <f t="shared" ca="1" si="12"/>
        <v>32.799028377544722</v>
      </c>
      <c r="AB23" s="50">
        <f t="shared" ca="1" si="12"/>
        <v>32.799028377544722</v>
      </c>
      <c r="AC23" s="50">
        <f t="shared" ca="1" si="12"/>
        <v>32.799028377544722</v>
      </c>
      <c r="AD23" s="26"/>
      <c r="AE23" s="26"/>
    </row>
    <row r="24" spans="1:31" x14ac:dyDescent="0.2">
      <c r="A24" s="4" t="s">
        <v>205</v>
      </c>
      <c r="G24" s="52">
        <f t="shared" ref="G24:AC24" si="13">G23/F23-1</f>
        <v>-1.2880562060889833E-2</v>
      </c>
      <c r="H24" s="52">
        <f t="shared" si="13"/>
        <v>-1.0676156583629859E-2</v>
      </c>
      <c r="I24" s="52">
        <f t="shared" si="13"/>
        <v>-3.597122302158251E-3</v>
      </c>
      <c r="J24" s="52">
        <f t="shared" si="13"/>
        <v>3.6101083032489267E-3</v>
      </c>
      <c r="K24" s="52">
        <f t="shared" si="13"/>
        <v>-4.4964028776978138E-3</v>
      </c>
      <c r="L24" s="52">
        <f t="shared" si="13"/>
        <v>6.9256248118034769E-3</v>
      </c>
      <c r="M24" s="52">
        <f t="shared" si="13"/>
        <v>0</v>
      </c>
      <c r="N24" s="52">
        <f t="shared" si="13"/>
        <v>-6.5789473684210176E-3</v>
      </c>
      <c r="O24" s="51">
        <f t="shared" si="13"/>
        <v>2.7092113184830069E-3</v>
      </c>
      <c r="P24" s="51">
        <f t="shared" si="13"/>
        <v>-7.2050435304713556E-3</v>
      </c>
      <c r="Q24" s="51">
        <f t="shared" si="13"/>
        <v>-3.931055337163647E-3</v>
      </c>
      <c r="R24" s="51">
        <f t="shared" si="13"/>
        <v>-1.5179113539768307E-3</v>
      </c>
      <c r="S24" s="51">
        <f t="shared" si="13"/>
        <v>-6.0808756460939417E-4</v>
      </c>
      <c r="T24" s="30">
        <f t="shared" ca="1" si="13"/>
        <v>-1.5422578655149843E-3</v>
      </c>
      <c r="U24" s="30">
        <f t="shared" ca="1" si="13"/>
        <v>-6.178560395428967E-4</v>
      </c>
      <c r="V24" s="30">
        <f t="shared" ca="1" si="13"/>
        <v>0</v>
      </c>
      <c r="W24" s="30">
        <f t="shared" ca="1" si="13"/>
        <v>0</v>
      </c>
      <c r="X24" s="30">
        <f t="shared" ca="1" si="13"/>
        <v>0</v>
      </c>
      <c r="Y24" s="30">
        <f t="shared" ca="1" si="13"/>
        <v>0</v>
      </c>
      <c r="Z24" s="30">
        <f t="shared" ca="1" si="13"/>
        <v>0</v>
      </c>
      <c r="AA24" s="30">
        <f t="shared" ca="1" si="13"/>
        <v>0</v>
      </c>
      <c r="AB24" s="30">
        <f t="shared" ca="1" si="13"/>
        <v>0</v>
      </c>
      <c r="AC24" s="30">
        <f t="shared" ca="1" si="13"/>
        <v>0</v>
      </c>
      <c r="AD24" s="26"/>
      <c r="AE24" s="26"/>
    </row>
    <row r="25" spans="1:31" x14ac:dyDescent="0.2">
      <c r="A25" s="33" t="s">
        <v>214</v>
      </c>
      <c r="B25" s="4" t="str">
        <f>$B$9</f>
        <v>From Economic Forecasts</v>
      </c>
      <c r="F25" s="40">
        <f>'Economic Forecasts'!F$13</f>
        <v>32.15</v>
      </c>
      <c r="G25" s="40">
        <f>'Economic Forecasts'!G$13</f>
        <v>32.17</v>
      </c>
      <c r="H25" s="40">
        <f>'Economic Forecasts'!H$13</f>
        <v>32.07</v>
      </c>
      <c r="I25" s="40">
        <f>'Economic Forecasts'!I$13</f>
        <v>31.97</v>
      </c>
      <c r="J25" s="40">
        <f>'Economic Forecasts'!J$13</f>
        <v>32.340000000000003</v>
      </c>
      <c r="K25" s="40">
        <f>'Economic Forecasts'!K$13</f>
        <v>32.5</v>
      </c>
      <c r="L25" s="40">
        <f>'Economic Forecasts'!L$13</f>
        <v>32.67</v>
      </c>
      <c r="M25" s="40">
        <f>'Economic Forecasts'!M$13</f>
        <v>32.94</v>
      </c>
      <c r="N25" s="40">
        <f>'Economic Forecasts'!N$13</f>
        <v>32.840000000000003</v>
      </c>
      <c r="O25" s="41">
        <f>'Economic Forecasts'!O$13</f>
        <v>32.86</v>
      </c>
      <c r="P25" s="41">
        <f>'Economic Forecasts'!P$13</f>
        <v>32.619999999999997</v>
      </c>
      <c r="Q25" s="41">
        <f>'Economic Forecasts'!Q$13</f>
        <v>32.49</v>
      </c>
      <c r="R25" s="41">
        <f>'Economic Forecasts'!R$13</f>
        <v>32.44</v>
      </c>
      <c r="S25" s="41">
        <f>'Economic Forecasts'!S$13</f>
        <v>32.42</v>
      </c>
      <c r="T25" s="50">
        <f ca="1">S$25+MIN(OFFSET(Choices!$B$25,0,$C$1),ABS(OFFSET(Choices!$B$14,0,$C$1)-S$25))*SIGN(OFFSET(Choices!$B$14,0,$C$1)-S$25)</f>
        <v>32.370000000000005</v>
      </c>
      <c r="U25" s="50">
        <f ca="1">T$25+MIN(OFFSET(Choices!$B$25,0,$C$1),ABS(OFFSET(Choices!$B$14,0,$C$1)-T$25))*SIGN(OFFSET(Choices!$B$14,0,$C$1)-T$25)</f>
        <v>32.35</v>
      </c>
      <c r="V25" s="50">
        <f ca="1">U$25+MIN(OFFSET(Choices!$B$25,0,$C$1),ABS(OFFSET(Choices!$B$14,0,$C$1)-U$25))*SIGN(OFFSET(Choices!$B$14,0,$C$1)-U$25)</f>
        <v>32.35</v>
      </c>
      <c r="W25" s="50">
        <f ca="1">V$25+MIN(OFFSET(Choices!$B$25,0,$C$1),ABS(OFFSET(Choices!$B$14,0,$C$1)-V$25))*SIGN(OFFSET(Choices!$B$14,0,$C$1)-V$25)</f>
        <v>32.35</v>
      </c>
      <c r="X25" s="50">
        <f ca="1">W$25+MIN(OFFSET(Choices!$B$25,0,$C$1),ABS(OFFSET(Choices!$B$14,0,$C$1)-W$25))*SIGN(OFFSET(Choices!$B$14,0,$C$1)-W$25)</f>
        <v>32.35</v>
      </c>
      <c r="Y25" s="50">
        <f ca="1">X$25+MIN(OFFSET(Choices!$B$25,0,$C$1),ABS(OFFSET(Choices!$B$14,0,$C$1)-X$25))*SIGN(OFFSET(Choices!$B$14,0,$C$1)-X$25)</f>
        <v>32.35</v>
      </c>
      <c r="Z25" s="50">
        <f ca="1">Y$25+MIN(OFFSET(Choices!$B$25,0,$C$1),ABS(OFFSET(Choices!$B$14,0,$C$1)-Y$25))*SIGN(OFFSET(Choices!$B$14,0,$C$1)-Y$25)</f>
        <v>32.35</v>
      </c>
      <c r="AA25" s="50">
        <f ca="1">Z$25+MIN(OFFSET(Choices!$B$25,0,$C$1),ABS(OFFSET(Choices!$B$14,0,$C$1)-Z$25))*SIGN(OFFSET(Choices!$B$14,0,$C$1)-Z$25)</f>
        <v>32.35</v>
      </c>
      <c r="AB25" s="50">
        <f ca="1">AA$25+MIN(OFFSET(Choices!$B$25,0,$C$1),ABS(OFFSET(Choices!$B$14,0,$C$1)-AA$25))*SIGN(OFFSET(Choices!$B$14,0,$C$1)-AA$25)</f>
        <v>32.35</v>
      </c>
      <c r="AC25" s="50">
        <f ca="1">AB$25+MIN(OFFSET(Choices!$B$25,0,$C$1),ABS(OFFSET(Choices!$B$14,0,$C$1)-AB$25))*SIGN(OFFSET(Choices!$B$14,0,$C$1)-AB$25)</f>
        <v>32.35</v>
      </c>
      <c r="AD25" s="26"/>
      <c r="AE25" s="26"/>
    </row>
    <row r="26" spans="1:31" x14ac:dyDescent="0.2">
      <c r="A26" s="4" t="s">
        <v>205</v>
      </c>
      <c r="G26" s="52">
        <f t="shared" ref="G26:AC26" si="14">G25/F25-1</f>
        <v>6.2208398133756226E-4</v>
      </c>
      <c r="H26" s="52">
        <f t="shared" si="14"/>
        <v>-3.1084861672365793E-3</v>
      </c>
      <c r="I26" s="52">
        <f t="shared" si="14"/>
        <v>-3.1181789834736628E-3</v>
      </c>
      <c r="J26" s="52">
        <f t="shared" si="14"/>
        <v>1.1573350015639861E-2</v>
      </c>
      <c r="K26" s="52">
        <f t="shared" si="14"/>
        <v>4.9474335188619545E-3</v>
      </c>
      <c r="L26" s="52">
        <f t="shared" si="14"/>
        <v>5.2307692307693721E-3</v>
      </c>
      <c r="M26" s="52">
        <f t="shared" si="14"/>
        <v>8.2644628099173278E-3</v>
      </c>
      <c r="N26" s="52">
        <f t="shared" si="14"/>
        <v>-3.0358227079536615E-3</v>
      </c>
      <c r="O26" s="51">
        <f t="shared" si="14"/>
        <v>6.0901339829455559E-4</v>
      </c>
      <c r="P26" s="51">
        <f t="shared" si="14"/>
        <v>-7.3037127206330155E-3</v>
      </c>
      <c r="Q26" s="51">
        <f t="shared" si="14"/>
        <v>-3.9852851011648038E-3</v>
      </c>
      <c r="R26" s="51">
        <f t="shared" si="14"/>
        <v>-1.5389350569406934E-3</v>
      </c>
      <c r="S26" s="51">
        <f t="shared" si="14"/>
        <v>-6.1652281134394471E-4</v>
      </c>
      <c r="T26" s="30">
        <f t="shared" ca="1" si="14"/>
        <v>-1.5422578655149843E-3</v>
      </c>
      <c r="U26" s="30">
        <f t="shared" ca="1" si="14"/>
        <v>-6.178560395428967E-4</v>
      </c>
      <c r="V26" s="30">
        <f t="shared" ca="1" si="14"/>
        <v>0</v>
      </c>
      <c r="W26" s="30">
        <f t="shared" ca="1" si="14"/>
        <v>0</v>
      </c>
      <c r="X26" s="30">
        <f t="shared" ca="1" si="14"/>
        <v>0</v>
      </c>
      <c r="Y26" s="30">
        <f t="shared" ca="1" si="14"/>
        <v>0</v>
      </c>
      <c r="Z26" s="30">
        <f t="shared" ca="1" si="14"/>
        <v>0</v>
      </c>
      <c r="AA26" s="30">
        <f t="shared" ca="1" si="14"/>
        <v>0</v>
      </c>
      <c r="AB26" s="30">
        <f t="shared" ca="1" si="14"/>
        <v>0</v>
      </c>
      <c r="AC26" s="30">
        <f t="shared" ca="1" si="14"/>
        <v>0</v>
      </c>
      <c r="AD26" s="26"/>
      <c r="AE26" s="26"/>
    </row>
    <row r="27" spans="1:31" x14ac:dyDescent="0.2">
      <c r="A27" s="31" t="s">
        <v>174</v>
      </c>
      <c r="B27" s="4" t="str">
        <f>$B$9</f>
        <v>From Economic Forecasts</v>
      </c>
      <c r="F27" s="52">
        <f>'Economic Forecasts'!F$14</f>
        <v>2.3599999999999999E-2</v>
      </c>
      <c r="G27" s="52">
        <f>'Economic Forecasts'!G$14</f>
        <v>1.9900000000000001E-2</v>
      </c>
      <c r="H27" s="52">
        <f>'Economic Forecasts'!H$14</f>
        <v>-7.0000000000000001E-3</v>
      </c>
      <c r="I27" s="52">
        <f>'Economic Forecasts'!I$14</f>
        <v>2.5499999999999998E-2</v>
      </c>
      <c r="J27" s="52">
        <f>'Economic Forecasts'!J$14</f>
        <v>-8.0999999999999996E-3</v>
      </c>
      <c r="K27" s="52">
        <f>'Economic Forecasts'!K$14</f>
        <v>2.1700000000000001E-2</v>
      </c>
      <c r="L27" s="52">
        <f>'Economic Forecasts'!L$14</f>
        <v>1.24E-2</v>
      </c>
      <c r="M27" s="52">
        <f>'Economic Forecasts'!M$14</f>
        <v>-3.0999999999999999E-3</v>
      </c>
      <c r="N27" s="52">
        <f>'Economic Forecasts'!N$14</f>
        <v>3.8E-3</v>
      </c>
      <c r="O27" s="51">
        <f>'Economic Forecasts'!O$14</f>
        <v>1.03E-2</v>
      </c>
      <c r="P27" s="51">
        <f>'Economic Forecasts'!P$14</f>
        <v>1.77E-2</v>
      </c>
      <c r="Q27" s="51">
        <f>'Economic Forecasts'!Q$14</f>
        <v>2.01E-2</v>
      </c>
      <c r="R27" s="51">
        <f>'Economic Forecasts'!R$14</f>
        <v>5.0000000000000001E-3</v>
      </c>
      <c r="S27" s="51">
        <f>'Economic Forecasts'!S$14</f>
        <v>8.8000000000000005E-3</v>
      </c>
      <c r="T27" s="30">
        <f ca="1">IF(T$4&lt;=OFFSET(Choices!$B$20,0,$C$1),(T$9/S$9)/((T$15*(1-T$20)*T$23)/(S$15*(1-S$20)*S$23))-1,OFFSET(Choices!$B$12,0,$C$1))</f>
        <v>1.4999999999999999E-2</v>
      </c>
      <c r="U27" s="30">
        <f ca="1">IF(U$4&lt;=OFFSET(Choices!$B$20,0,$C$1),(U$9/T$9)/((U$15*(1-U$20)*U$23)/(T$15*(1-T$20)*T$23))-1,OFFSET(Choices!$B$12,0,$C$1))</f>
        <v>1.4999999999999999E-2</v>
      </c>
      <c r="V27" s="30">
        <f ca="1">IF(V$4&lt;=OFFSET(Choices!$B$20,0,$C$1),(V$9/U$9)/((V$15*(1-V$20)*V$23)/(U$15*(1-U$20)*U$23))-1,OFFSET(Choices!$B$12,0,$C$1))</f>
        <v>1.4999999999999999E-2</v>
      </c>
      <c r="W27" s="30">
        <f ca="1">IF(W$4&lt;=OFFSET(Choices!$B$20,0,$C$1),(W$9/V$9)/((W$15*(1-W$20)*W$23)/(V$15*(1-V$20)*V$23))-1,OFFSET(Choices!$B$12,0,$C$1))</f>
        <v>1.4999999999999999E-2</v>
      </c>
      <c r="X27" s="30">
        <f ca="1">IF(X$4&lt;=OFFSET(Choices!$B$20,0,$C$1),(X$9/W$9)/((X$15*(1-X$20)*X$23)/(W$15*(1-W$20)*W$23))-1,OFFSET(Choices!$B$12,0,$C$1))</f>
        <v>1.4999999999999999E-2</v>
      </c>
      <c r="Y27" s="30">
        <f ca="1">IF(Y$4&lt;=OFFSET(Choices!$B$20,0,$C$1),(Y$9/X$9)/((Y$15*(1-Y$20)*Y$23)/(X$15*(1-X$20)*X$23))-1,OFFSET(Choices!$B$12,0,$C$1))</f>
        <v>1.4999999999999999E-2</v>
      </c>
      <c r="Z27" s="30">
        <f ca="1">IF(Z$4&lt;=OFFSET(Choices!$B$20,0,$C$1),(Z$9/Y$9)/((Z$15*(1-Z$20)*Z$23)/(Y$15*(1-Y$20)*Y$23))-1,OFFSET(Choices!$B$12,0,$C$1))</f>
        <v>1.4999999999999999E-2</v>
      </c>
      <c r="AA27" s="30">
        <f ca="1">IF(AA$4&lt;=OFFSET(Choices!$B$20,0,$C$1),(AA$9/Z$9)/((AA$15*(1-AA$20)*AA$23)/(Z$15*(1-Z$20)*Z$23))-1,OFFSET(Choices!$B$12,0,$C$1))</f>
        <v>1.4999999999999999E-2</v>
      </c>
      <c r="AB27" s="30">
        <f ca="1">IF(AB$4&lt;=OFFSET(Choices!$B$20,0,$C$1),(AB$9/AA$9)/((AB$15*(1-AB$20)*AB$23)/(AA$15*(1-AA$20)*AA$23))-1,OFFSET(Choices!$B$12,0,$C$1))</f>
        <v>1.4999999999999999E-2</v>
      </c>
      <c r="AC27" s="30">
        <f ca="1">IF(AC$4&lt;=OFFSET(Choices!$B$20,0,$C$1),(AC$9/AB$9)/((AC$15*(1-AC$20)*AC$23)/(AB$15*(1-AB$20)*AB$23))-1,OFFSET(Choices!$B$12,0,$C$1))</f>
        <v>1.4999999999999999E-2</v>
      </c>
      <c r="AD27" s="26"/>
      <c r="AE27" s="26"/>
    </row>
    <row r="28" spans="1:31" x14ac:dyDescent="0.2">
      <c r="A28" s="5" t="s">
        <v>215</v>
      </c>
      <c r="W28" s="59"/>
      <c r="X28" s="86"/>
      <c r="AD28" s="26"/>
      <c r="AE28" s="26"/>
    </row>
    <row r="29" spans="1:31" x14ac:dyDescent="0.2">
      <c r="A29" s="31" t="s">
        <v>216</v>
      </c>
      <c r="B29" s="4" t="str">
        <f>$B$9</f>
        <v>From Economic Forecasts</v>
      </c>
      <c r="F29" s="37">
        <f>'Economic Forecasts'!F$15</f>
        <v>1020</v>
      </c>
      <c r="G29" s="37">
        <f>'Economic Forecasts'!G$15</f>
        <v>1061</v>
      </c>
      <c r="H29" s="37">
        <f>'Economic Forecasts'!H$15</f>
        <v>1081</v>
      </c>
      <c r="I29" s="37">
        <f>'Economic Forecasts'!I$15</f>
        <v>1099</v>
      </c>
      <c r="J29" s="37">
        <f>'Economic Forecasts'!J$15</f>
        <v>1157</v>
      </c>
      <c r="K29" s="37">
        <f>'Economic Forecasts'!K$15</f>
        <v>1168</v>
      </c>
      <c r="L29" s="37">
        <f>'Economic Forecasts'!L$15</f>
        <v>1176</v>
      </c>
      <c r="M29" s="37">
        <f>'Economic Forecasts'!M$15</f>
        <v>1195</v>
      </c>
      <c r="N29" s="37">
        <f>'Economic Forecasts'!N$15</f>
        <v>1200</v>
      </c>
      <c r="O29" s="36">
        <f>'Economic Forecasts'!O$15</f>
        <v>1221</v>
      </c>
      <c r="P29" s="36">
        <f>'Economic Forecasts'!P$15</f>
        <v>1243</v>
      </c>
      <c r="Q29" s="36">
        <f>'Economic Forecasts'!Q$15</f>
        <v>1268</v>
      </c>
      <c r="R29" s="36">
        <f>'Economic Forecasts'!R$15</f>
        <v>1295</v>
      </c>
      <c r="S29" s="36">
        <f>'Economic Forecasts'!S$15</f>
        <v>1324</v>
      </c>
      <c r="T29" s="53">
        <f t="shared" ref="T29:AC29" ca="1" si="15">S$29*(1+T$30)</f>
        <v>1351.001420849421</v>
      </c>
      <c r="U29" s="53">
        <f t="shared" ca="1" si="15"/>
        <v>1378.0214492664095</v>
      </c>
      <c r="V29" s="53">
        <f t="shared" ca="1" si="15"/>
        <v>1405.5818782517376</v>
      </c>
      <c r="W29" s="53">
        <f t="shared" ca="1" si="15"/>
        <v>1433.6935158167723</v>
      </c>
      <c r="X29" s="53">
        <f t="shared" ca="1" si="15"/>
        <v>1462.3673861331079</v>
      </c>
      <c r="Y29" s="53">
        <f t="shared" ca="1" si="15"/>
        <v>1491.6147338557701</v>
      </c>
      <c r="Z29" s="53">
        <f t="shared" ca="1" si="15"/>
        <v>1521.4470285328855</v>
      </c>
      <c r="AA29" s="53">
        <f t="shared" ca="1" si="15"/>
        <v>1551.8759691035432</v>
      </c>
      <c r="AB29" s="53">
        <f t="shared" ca="1" si="15"/>
        <v>1582.9134884856142</v>
      </c>
      <c r="AC29" s="53">
        <f t="shared" ca="1" si="15"/>
        <v>1614.5717582553264</v>
      </c>
      <c r="AD29" s="26"/>
      <c r="AE29" s="26"/>
    </row>
    <row r="30" spans="1:31" x14ac:dyDescent="0.2">
      <c r="A30" s="4" t="s">
        <v>205</v>
      </c>
      <c r="G30" s="52">
        <f t="shared" ref="G30:N30" si="16">G29/F29-1</f>
        <v>4.0196078431372628E-2</v>
      </c>
      <c r="H30" s="52">
        <f t="shared" si="16"/>
        <v>1.8850141376060225E-2</v>
      </c>
      <c r="I30" s="52">
        <f t="shared" si="16"/>
        <v>1.6651248843663202E-2</v>
      </c>
      <c r="J30" s="52">
        <f t="shared" si="16"/>
        <v>5.277525022747942E-2</v>
      </c>
      <c r="K30" s="52">
        <f t="shared" si="16"/>
        <v>9.5073465859982775E-3</v>
      </c>
      <c r="L30" s="52">
        <f t="shared" si="16"/>
        <v>6.8493150684931781E-3</v>
      </c>
      <c r="M30" s="52">
        <f t="shared" si="16"/>
        <v>1.6156462585034115E-2</v>
      </c>
      <c r="N30" s="52">
        <f t="shared" si="16"/>
        <v>4.1841004184099972E-3</v>
      </c>
      <c r="O30" s="51">
        <f>O29/N29-1</f>
        <v>1.7500000000000071E-2</v>
      </c>
      <c r="P30" s="51">
        <f>P29/O29-1</f>
        <v>1.8018018018018056E-2</v>
      </c>
      <c r="Q30" s="51">
        <f>Q29/P29-1</f>
        <v>2.011263073209979E-2</v>
      </c>
      <c r="R30" s="51">
        <f>R29/Q29-1</f>
        <v>2.1293375394321856E-2</v>
      </c>
      <c r="S30" s="51">
        <f>S29/R29-1</f>
        <v>2.2393822393822482E-2</v>
      </c>
      <c r="T30" s="30">
        <f ca="1">S$30+MIN(OFFSET(Choices!$B$26,0,$C$1),ABS(OFFSET(Choices!$B$15,0,$C$1)-S$30))*SIGN(OFFSET(Choices!$B$15,0,$C$1)-S$30)</f>
        <v>2.0393822393822481E-2</v>
      </c>
      <c r="U30" s="30">
        <f ca="1">T$30+MIN(OFFSET(Choices!$B$26,0,$C$1),ABS(OFFSET(Choices!$B$15,0,$C$1)-T$30))*SIGN(OFFSET(Choices!$B$15,0,$C$1)-T$30)</f>
        <v>0.02</v>
      </c>
      <c r="V30" s="30">
        <f ca="1">U$30+MIN(OFFSET(Choices!$B$26,0,$C$1),ABS(OFFSET(Choices!$B$15,0,$C$1)-U$30))*SIGN(OFFSET(Choices!$B$15,0,$C$1)-U$30)</f>
        <v>0.02</v>
      </c>
      <c r="W30" s="30">
        <f ca="1">V$30+MIN(OFFSET(Choices!$B$26,0,$C$1),ABS(OFFSET(Choices!$B$15,0,$C$1)-V$30))*SIGN(OFFSET(Choices!$B$15,0,$C$1)-V$30)</f>
        <v>0.02</v>
      </c>
      <c r="X30" s="30">
        <f ca="1">W$30+MIN(OFFSET(Choices!$B$26,0,$C$1),ABS(OFFSET(Choices!$B$15,0,$C$1)-W$30))*SIGN(OFFSET(Choices!$B$15,0,$C$1)-W$30)</f>
        <v>0.02</v>
      </c>
      <c r="Y30" s="30">
        <f ca="1">X$30+MIN(OFFSET(Choices!$B$26,0,$C$1),ABS(OFFSET(Choices!$B$15,0,$C$1)-X$30))*SIGN(OFFSET(Choices!$B$15,0,$C$1)-X$30)</f>
        <v>0.02</v>
      </c>
      <c r="Z30" s="30">
        <f ca="1">Y$30+MIN(OFFSET(Choices!$B$26,0,$C$1),ABS(OFFSET(Choices!$B$15,0,$C$1)-Y$30))*SIGN(OFFSET(Choices!$B$15,0,$C$1)-Y$30)</f>
        <v>0.02</v>
      </c>
      <c r="AA30" s="30">
        <f ca="1">Z$30+MIN(OFFSET(Choices!$B$26,0,$C$1),ABS(OFFSET(Choices!$B$15,0,$C$1)-Z$30))*SIGN(OFFSET(Choices!$B$15,0,$C$1)-Z$30)</f>
        <v>0.02</v>
      </c>
      <c r="AB30" s="30">
        <f ca="1">AA$30+MIN(OFFSET(Choices!$B$26,0,$C$1),ABS(OFFSET(Choices!$B$15,0,$C$1)-AA$30))*SIGN(OFFSET(Choices!$B$15,0,$C$1)-AA$30)</f>
        <v>0.02</v>
      </c>
      <c r="AC30" s="30">
        <f ca="1">AB$30+MIN(OFFSET(Choices!$B$26,0,$C$1),ABS(OFFSET(Choices!$B$15,0,$C$1)-AB$30))*SIGN(OFFSET(Choices!$B$15,0,$C$1)-AB$30)</f>
        <v>0.02</v>
      </c>
      <c r="AD30" s="26"/>
      <c r="AE30" s="26"/>
    </row>
    <row r="31" spans="1:31" x14ac:dyDescent="0.2">
      <c r="A31" s="31" t="s">
        <v>175</v>
      </c>
      <c r="B31" s="4" t="str">
        <f>$B$9</f>
        <v>From Economic Forecasts</v>
      </c>
      <c r="F31" s="52">
        <f>'Economic Forecasts'!F$16</f>
        <v>4.8099999999999997E-2</v>
      </c>
      <c r="G31" s="52">
        <f>'Economic Forecasts'!G$16</f>
        <v>4.5900000000000003E-2</v>
      </c>
      <c r="H31" s="52">
        <f>'Economic Forecasts'!H$16</f>
        <v>5.3100000000000001E-2</v>
      </c>
      <c r="I31" s="52">
        <f>'Economic Forecasts'!I$16</f>
        <v>2.1899999999999999E-2</v>
      </c>
      <c r="J31" s="52">
        <f>'Economic Forecasts'!J$16</f>
        <v>2.1399999999999999E-2</v>
      </c>
      <c r="K31" s="52">
        <f>'Economic Forecasts'!K$16</f>
        <v>3.1699999999999999E-2</v>
      </c>
      <c r="L31" s="52">
        <f>'Economic Forecasts'!L$16</f>
        <v>2.3900000000000001E-2</v>
      </c>
      <c r="M31" s="52">
        <f>'Economic Forecasts'!M$16</f>
        <v>2.64E-2</v>
      </c>
      <c r="N31" s="52">
        <f>'Economic Forecasts'!N$16</f>
        <v>2.4400000000000002E-2</v>
      </c>
      <c r="O31" s="51">
        <f>'Economic Forecasts'!O$16</f>
        <v>2.1299999999999999E-2</v>
      </c>
      <c r="P31" s="51">
        <f>'Economic Forecasts'!P$16</f>
        <v>1.9199999999999998E-2</v>
      </c>
      <c r="Q31" s="51">
        <f>'Economic Forecasts'!Q$16</f>
        <v>2.12E-2</v>
      </c>
      <c r="R31" s="51">
        <f>'Economic Forecasts'!R$16</f>
        <v>2.7199999999999998E-2</v>
      </c>
      <c r="S31" s="51">
        <f>'Economic Forecasts'!S$16</f>
        <v>3.2899999999999999E-2</v>
      </c>
      <c r="T31" s="30">
        <f t="shared" ref="T31:AC31" ca="1" si="17">(1+T$27)*(1+T$30)-1</f>
        <v>3.5699729729729679E-2</v>
      </c>
      <c r="U31" s="30">
        <f t="shared" ca="1" si="17"/>
        <v>3.5299999999999887E-2</v>
      </c>
      <c r="V31" s="30">
        <f t="shared" ca="1" si="17"/>
        <v>3.5299999999999887E-2</v>
      </c>
      <c r="W31" s="30">
        <f t="shared" ca="1" si="17"/>
        <v>3.5299999999999887E-2</v>
      </c>
      <c r="X31" s="30">
        <f t="shared" ca="1" si="17"/>
        <v>3.5299999999999887E-2</v>
      </c>
      <c r="Y31" s="30">
        <f t="shared" ca="1" si="17"/>
        <v>3.5299999999999887E-2</v>
      </c>
      <c r="Z31" s="30">
        <f t="shared" ca="1" si="17"/>
        <v>3.5299999999999887E-2</v>
      </c>
      <c r="AA31" s="30">
        <f t="shared" ca="1" si="17"/>
        <v>3.5299999999999887E-2</v>
      </c>
      <c r="AB31" s="30">
        <f t="shared" ca="1" si="17"/>
        <v>3.5299999999999887E-2</v>
      </c>
      <c r="AC31" s="30">
        <f t="shared" ca="1" si="17"/>
        <v>3.5299999999999887E-2</v>
      </c>
      <c r="AD31" s="26"/>
      <c r="AE31" s="26"/>
    </row>
    <row r="32" spans="1:31" x14ac:dyDescent="0.2">
      <c r="A32" s="31" t="s">
        <v>1199</v>
      </c>
      <c r="B32" s="4" t="str">
        <f>$B$9</f>
        <v>From Economic Forecasts</v>
      </c>
      <c r="F32" s="52">
        <f>'Economic Forecasts'!F$17</f>
        <v>5.96E-2</v>
      </c>
      <c r="G32" s="52">
        <f>'Economic Forecasts'!G$17</f>
        <v>6.4100000000000004E-2</v>
      </c>
      <c r="H32" s="52">
        <f>'Economic Forecasts'!H$17</f>
        <v>5.4299999999999994E-2</v>
      </c>
      <c r="I32" s="52">
        <f>'Economic Forecasts'!I$17</f>
        <v>5.8200000000000002E-2</v>
      </c>
      <c r="J32" s="52">
        <f>'Economic Forecasts'!J$17</f>
        <v>5.4199999999999998E-2</v>
      </c>
      <c r="K32" s="52">
        <f>'Economic Forecasts'!K$17</f>
        <v>4.1399999999999999E-2</v>
      </c>
      <c r="L32" s="52">
        <f>'Economic Forecasts'!L$17</f>
        <v>3.5699999999999996E-2</v>
      </c>
      <c r="M32" s="52">
        <f>'Economic Forecasts'!M$17</f>
        <v>4.5499999999999999E-2</v>
      </c>
      <c r="N32" s="52">
        <f>'Economic Forecasts'!N$17</f>
        <v>3.7699999999999997E-2</v>
      </c>
      <c r="O32" s="51">
        <f>'Economic Forecasts'!O$17</f>
        <v>3.3300000000000003E-2</v>
      </c>
      <c r="P32" s="51">
        <f>'Economic Forecasts'!P$17</f>
        <v>3.5400000000000001E-2</v>
      </c>
      <c r="Q32" s="51">
        <f>'Economic Forecasts'!Q$17</f>
        <v>4.1599999999999998E-2</v>
      </c>
      <c r="R32" s="51">
        <f>'Economic Forecasts'!R$17</f>
        <v>4.5599999999999995E-2</v>
      </c>
      <c r="S32" s="51">
        <f>'Economic Forecasts'!S$17</f>
        <v>4.7699999999999992E-2</v>
      </c>
      <c r="T32" s="30">
        <f ca="1">S$32+MIN(OFFSET(Choices!$B$27,0,$C$1),ABS(OFFSET(Choices!$B$16,0,$C$1)-S$32))*SIGN(OFFSET(Choices!$B$16,0,$C$1)-S$32)</f>
        <v>4.9699999999999994E-2</v>
      </c>
      <c r="U32" s="30">
        <f ca="1">T$32+MIN(OFFSET(Choices!$B$27,0,$C$1),ABS(OFFSET(Choices!$B$16,0,$C$1)-T$32))*SIGN(OFFSET(Choices!$B$16,0,$C$1)-T$32)</f>
        <v>5.1699999999999996E-2</v>
      </c>
      <c r="V32" s="30">
        <f ca="1">U$32+MIN(OFFSET(Choices!$B$27,0,$C$1),ABS(OFFSET(Choices!$B$16,0,$C$1)-U$32))*SIGN(OFFSET(Choices!$B$16,0,$C$1)-U$32)</f>
        <v>5.2999999999999999E-2</v>
      </c>
      <c r="W32" s="30">
        <f ca="1">V$32+MIN(OFFSET(Choices!$B$27,0,$C$1),ABS(OFFSET(Choices!$B$16,0,$C$1)-V$32))*SIGN(OFFSET(Choices!$B$16,0,$C$1)-V$32)</f>
        <v>5.2999999999999999E-2</v>
      </c>
      <c r="X32" s="30">
        <f ca="1">W$32+MIN(OFFSET(Choices!$B$27,0,$C$1),ABS(OFFSET(Choices!$B$16,0,$C$1)-W$32))*SIGN(OFFSET(Choices!$B$16,0,$C$1)-W$32)</f>
        <v>5.2999999999999999E-2</v>
      </c>
      <c r="Y32" s="30">
        <f ca="1">X$32+MIN(OFFSET(Choices!$B$27,0,$C$1),ABS(OFFSET(Choices!$B$16,0,$C$1)-X$32))*SIGN(OFFSET(Choices!$B$16,0,$C$1)-X$32)</f>
        <v>5.2999999999999999E-2</v>
      </c>
      <c r="Z32" s="30">
        <f ca="1">Y$32+MIN(OFFSET(Choices!$B$27,0,$C$1),ABS(OFFSET(Choices!$B$16,0,$C$1)-Y$32))*SIGN(OFFSET(Choices!$B$16,0,$C$1)-Y$32)</f>
        <v>5.2999999999999999E-2</v>
      </c>
      <c r="AA32" s="30">
        <f ca="1">Z$32+MIN(OFFSET(Choices!$B$27,0,$C$1),ABS(OFFSET(Choices!$B$16,0,$C$1)-Z$32))*SIGN(OFFSET(Choices!$B$16,0,$C$1)-Z$32)</f>
        <v>5.2999999999999999E-2</v>
      </c>
      <c r="AB32" s="30">
        <f ca="1">AA$32+MIN(OFFSET(Choices!$B$27,0,$C$1),ABS(OFFSET(Choices!$B$16,0,$C$1)-AA$32))*SIGN(OFFSET(Choices!$B$16,0,$C$1)-AA$32)</f>
        <v>5.2999999999999999E-2</v>
      </c>
      <c r="AC32" s="30">
        <f ca="1">AB$32+MIN(OFFSET(Choices!$B$27,0,$C$1),ABS(OFFSET(Choices!$B$16,0,$C$1)-AB$32))*SIGN(OFFSET(Choices!$B$16,0,$C$1)-AB$32)</f>
        <v>5.2999999999999999E-2</v>
      </c>
      <c r="AD32" s="26"/>
      <c r="AE32" s="26"/>
    </row>
    <row r="33" spans="1:31" x14ac:dyDescent="0.2">
      <c r="A33" s="31" t="s">
        <v>809</v>
      </c>
      <c r="B33" s="4" t="str">
        <f>$B$9</f>
        <v>From Economic Forecasts</v>
      </c>
      <c r="F33" s="40">
        <f>'Economic Forecasts'!F$18</f>
        <v>832.3</v>
      </c>
      <c r="G33" s="40">
        <f>'Economic Forecasts'!G$18</f>
        <v>861.27</v>
      </c>
      <c r="H33" s="40">
        <f>'Economic Forecasts'!H$18</f>
        <v>905.51</v>
      </c>
      <c r="I33" s="40">
        <f>'Economic Forecasts'!I$18</f>
        <v>934.78</v>
      </c>
      <c r="J33" s="40">
        <f>'Economic Forecasts'!J$18</f>
        <v>967.96</v>
      </c>
      <c r="K33" s="40">
        <f>'Economic Forecasts'!K$18</f>
        <v>994.19</v>
      </c>
      <c r="L33" s="40">
        <f>'Economic Forecasts'!L$18</f>
        <v>1022.88</v>
      </c>
      <c r="M33" s="40">
        <f>'Economic Forecasts'!M$18</f>
        <v>1051.6400000000001</v>
      </c>
      <c r="N33" s="40">
        <f>'Economic Forecasts'!N$18</f>
        <v>1077.5</v>
      </c>
      <c r="O33" s="41">
        <f>'Economic Forecasts'!O$18</f>
        <v>1103.96</v>
      </c>
      <c r="P33" s="41">
        <f>'Economic Forecasts'!P$18</f>
        <v>1116.4100000000001</v>
      </c>
      <c r="Q33" s="41">
        <f>'Economic Forecasts'!Q$18</f>
        <v>1134.1099999999999</v>
      </c>
      <c r="R33" s="41">
        <f>'Economic Forecasts'!R$18</f>
        <v>1161.83</v>
      </c>
      <c r="S33" s="41">
        <f>'Economic Forecasts'!S$18</f>
        <v>1198.73</v>
      </c>
      <c r="T33" s="3">
        <f t="shared" ref="T33:AC33" ca="1" si="18">S$33*(1+T$31)</f>
        <v>1241.5243370189189</v>
      </c>
      <c r="U33" s="3">
        <f t="shared" ca="1" si="18"/>
        <v>1285.3501461156866</v>
      </c>
      <c r="V33" s="3">
        <f t="shared" ca="1" si="18"/>
        <v>1330.7230062735703</v>
      </c>
      <c r="W33" s="3">
        <f t="shared" ca="1" si="18"/>
        <v>1377.6975283950271</v>
      </c>
      <c r="X33" s="3">
        <f t="shared" ca="1" si="18"/>
        <v>1426.3302511473714</v>
      </c>
      <c r="Y33" s="3">
        <f t="shared" ca="1" si="18"/>
        <v>1476.6797090128734</v>
      </c>
      <c r="Z33" s="3">
        <f t="shared" ca="1" si="18"/>
        <v>1528.8065027410278</v>
      </c>
      <c r="AA33" s="3">
        <f t="shared" ca="1" si="18"/>
        <v>1582.7733722877858</v>
      </c>
      <c r="AB33" s="3">
        <f t="shared" ca="1" si="18"/>
        <v>1638.6452723295445</v>
      </c>
      <c r="AC33" s="3">
        <f t="shared" ca="1" si="18"/>
        <v>1696.4894504427773</v>
      </c>
      <c r="AD33" s="26"/>
      <c r="AE33" s="26"/>
    </row>
    <row r="34" spans="1:31" x14ac:dyDescent="0.2">
      <c r="A34" s="5" t="s">
        <v>217</v>
      </c>
      <c r="AD34" s="26"/>
      <c r="AE34" s="26"/>
    </row>
    <row r="35" spans="1:31" x14ac:dyDescent="0.2">
      <c r="A35" s="2" t="s">
        <v>171</v>
      </c>
      <c r="B35" s="4" t="str">
        <f>$B$9</f>
        <v>From Economic Forecasts</v>
      </c>
      <c r="F35" s="21">
        <f>'Economic Forecasts'!F$10</f>
        <v>4.2119999999999997</v>
      </c>
      <c r="G35" s="21">
        <f>'Economic Forecasts'!G$10</f>
        <v>4.2488999999999999</v>
      </c>
      <c r="H35" s="21">
        <f>'Economic Forecasts'!H$10</f>
        <v>4.2865000000000002</v>
      </c>
      <c r="I35" s="21">
        <f>'Economic Forecasts'!I$10</f>
        <v>4.3365</v>
      </c>
      <c r="J35" s="21">
        <f>'Economic Forecasts'!J$10</f>
        <v>4.3757999999999999</v>
      </c>
      <c r="K35" s="21">
        <f>'Economic Forecasts'!K$10</f>
        <v>4.4015000000000004</v>
      </c>
      <c r="L35" s="21">
        <f>'Economic Forecasts'!L$10</f>
        <v>4.4298999999999999</v>
      </c>
      <c r="M35" s="21">
        <f>'Economic Forecasts'!M$10</f>
        <v>4.4847999999999999</v>
      </c>
      <c r="N35" s="21">
        <f>'Economic Forecasts'!N$10</f>
        <v>4.5656999999999996</v>
      </c>
      <c r="O35" s="24">
        <f>'Economic Forecasts'!O$10</f>
        <v>4.6528</v>
      </c>
      <c r="P35" s="24">
        <f>'Economic Forecasts'!P$10</f>
        <v>4.7168999999999999</v>
      </c>
      <c r="Q35" s="24">
        <f>'Economic Forecasts'!Q$10</f>
        <v>4.7616000000000005</v>
      </c>
      <c r="R35" s="24">
        <f>'Economic Forecasts'!R$10</f>
        <v>4.8041999999999998</v>
      </c>
      <c r="S35" s="24">
        <f>'Economic Forecasts'!S$10</f>
        <v>4.8470000000000004</v>
      </c>
      <c r="T35" s="26">
        <f>S$35*Popn!T$7/Popn!S$7</f>
        <v>4.8894442792476154</v>
      </c>
      <c r="U35" s="26">
        <f>T$35*Popn!U$7/Popn!T$7</f>
        <v>4.9317578988622151</v>
      </c>
      <c r="V35" s="26">
        <f>U$35*Popn!V$7/Popn!U$7</f>
        <v>4.9740011632898078</v>
      </c>
      <c r="W35" s="26">
        <f>V$35*Popn!W$7/Popn!V$7</f>
        <v>5.0158926517823623</v>
      </c>
      <c r="X35" s="26">
        <f>W$35*Popn!X$7/Popn!W$7</f>
        <v>5.0574625165628824</v>
      </c>
      <c r="Y35" s="26">
        <f>X$35*Popn!Y$7/Popn!X$7</f>
        <v>5.098479590588342</v>
      </c>
      <c r="Z35" s="26">
        <f>Y$35*Popn!Z$7/Popn!Y$7</f>
        <v>5.1390745334917565</v>
      </c>
      <c r="AA35" s="26">
        <f>Z$35*Popn!AA$7/Popn!Z$7</f>
        <v>5.1789860260070961</v>
      </c>
      <c r="AB35" s="26">
        <f>AA$35*Popn!AB$7/Popn!AA$7</f>
        <v>5.2182241188753622</v>
      </c>
      <c r="AC35" s="26">
        <f>AB$35*Popn!AC$7/Popn!AB$7</f>
        <v>5.2564068839385136</v>
      </c>
      <c r="AD35" s="26"/>
      <c r="AE35" s="26"/>
    </row>
    <row r="36" spans="1:31" x14ac:dyDescent="0.2">
      <c r="A36" s="4" t="s">
        <v>205</v>
      </c>
      <c r="G36" s="52">
        <f>G35/F35-1</f>
        <v>8.7606837606837296E-3</v>
      </c>
      <c r="H36" s="52">
        <f t="shared" ref="H36:AC36" si="19">H35/G35-1</f>
        <v>8.8493492433336929E-3</v>
      </c>
      <c r="I36" s="52">
        <f t="shared" si="19"/>
        <v>1.1664528169835542E-2</v>
      </c>
      <c r="J36" s="52">
        <f t="shared" si="19"/>
        <v>9.0626080940849896E-3</v>
      </c>
      <c r="K36" s="52">
        <f t="shared" si="19"/>
        <v>5.8732117555648777E-3</v>
      </c>
      <c r="L36" s="52">
        <f t="shared" si="19"/>
        <v>6.4523457912073479E-3</v>
      </c>
      <c r="M36" s="52">
        <f t="shared" si="19"/>
        <v>1.2393056276665426E-2</v>
      </c>
      <c r="N36" s="52">
        <f t="shared" si="19"/>
        <v>1.8038708526578517E-2</v>
      </c>
      <c r="O36" s="51">
        <f>O35/N35-1</f>
        <v>1.9077030904352199E-2</v>
      </c>
      <c r="P36" s="51">
        <f>P35/O35-1</f>
        <v>1.3776650618982034E-2</v>
      </c>
      <c r="Q36" s="51">
        <f>Q35/P35-1</f>
        <v>9.4765629968835974E-3</v>
      </c>
      <c r="R36" s="51">
        <f>R35/Q35-1</f>
        <v>8.946572580645018E-3</v>
      </c>
      <c r="S36" s="51">
        <f>S35/R35-1</f>
        <v>8.9088714041880568E-3</v>
      </c>
      <c r="T36" s="30">
        <f t="shared" si="19"/>
        <v>8.7568143692211553E-3</v>
      </c>
      <c r="U36" s="30">
        <f t="shared" si="19"/>
        <v>8.6540754322923519E-3</v>
      </c>
      <c r="V36" s="30">
        <f t="shared" si="19"/>
        <v>8.5655592374755951E-3</v>
      </c>
      <c r="W36" s="30">
        <f t="shared" si="19"/>
        <v>8.4220906102177029E-3</v>
      </c>
      <c r="X36" s="30">
        <f t="shared" si="19"/>
        <v>8.2876304710683968E-3</v>
      </c>
      <c r="Y36" s="30">
        <f t="shared" si="19"/>
        <v>8.1102082103685635E-3</v>
      </c>
      <c r="Z36" s="30">
        <f t="shared" si="19"/>
        <v>7.962166403166826E-3</v>
      </c>
      <c r="AA36" s="30">
        <f t="shared" si="19"/>
        <v>7.7662801454294605E-3</v>
      </c>
      <c r="AB36" s="30">
        <f t="shared" si="19"/>
        <v>7.576404468215614E-3</v>
      </c>
      <c r="AC36" s="30">
        <f t="shared" si="19"/>
        <v>7.3171953126804912E-3</v>
      </c>
      <c r="AD36" s="26"/>
      <c r="AE36" s="26"/>
    </row>
    <row r="37" spans="1:31" x14ac:dyDescent="0.2">
      <c r="AD37" s="26"/>
      <c r="AE37" s="26"/>
    </row>
    <row r="38" spans="1:31" ht="15.75" x14ac:dyDescent="0.25">
      <c r="A38" s="1" t="s">
        <v>218</v>
      </c>
      <c r="AD38" s="26"/>
      <c r="AE38" s="26"/>
    </row>
    <row r="39" spans="1:31" x14ac:dyDescent="0.2">
      <c r="A39" s="32" t="s">
        <v>223</v>
      </c>
      <c r="F39" s="21">
        <f>F$140</f>
        <v>53.063999999999993</v>
      </c>
      <c r="G39" s="21">
        <f t="shared" ref="G39:AC39" si="20">G$140</f>
        <v>56.372</v>
      </c>
      <c r="H39" s="21">
        <f t="shared" si="20"/>
        <v>54.145000000000003</v>
      </c>
      <c r="I39" s="21">
        <f t="shared" si="20"/>
        <v>50.347000000000001</v>
      </c>
      <c r="J39" s="21">
        <f t="shared" si="20"/>
        <v>51.128</v>
      </c>
      <c r="K39" s="21">
        <f t="shared" si="20"/>
        <v>54.664999999999992</v>
      </c>
      <c r="L39" s="21">
        <f t="shared" si="20"/>
        <v>58.133999999999993</v>
      </c>
      <c r="M39" s="21">
        <f t="shared" si="20"/>
        <v>60.967999999999989</v>
      </c>
      <c r="N39" s="21">
        <f t="shared" si="20"/>
        <v>66.055000000000007</v>
      </c>
      <c r="O39" s="24">
        <f t="shared" si="20"/>
        <v>67.647999999999996</v>
      </c>
      <c r="P39" s="24">
        <f t="shared" si="20"/>
        <v>70.225999999999999</v>
      </c>
      <c r="Q39" s="24">
        <f t="shared" si="20"/>
        <v>74.350999999999999</v>
      </c>
      <c r="R39" s="24">
        <f t="shared" si="20"/>
        <v>79.134000000000015</v>
      </c>
      <c r="S39" s="24">
        <f t="shared" si="20"/>
        <v>83.141000000000005</v>
      </c>
      <c r="T39" s="26">
        <f t="shared" ca="1" si="20"/>
        <v>87.185740498911173</v>
      </c>
      <c r="U39" s="26">
        <f t="shared" ca="1" si="20"/>
        <v>91.212324910756678</v>
      </c>
      <c r="V39" s="26">
        <f t="shared" ca="1" si="20"/>
        <v>95.475727100749907</v>
      </c>
      <c r="W39" s="26">
        <f t="shared" ca="1" si="20"/>
        <v>99.869000468554518</v>
      </c>
      <c r="X39" s="26">
        <f t="shared" ca="1" si="20"/>
        <v>104.25717264462361</v>
      </c>
      <c r="Y39" s="26">
        <f t="shared" ca="1" si="20"/>
        <v>108.83441244867734</v>
      </c>
      <c r="Z39" s="26">
        <f t="shared" ca="1" si="20"/>
        <v>113.54568530297733</v>
      </c>
      <c r="AA39" s="26">
        <f t="shared" ca="1" si="20"/>
        <v>118.39430584381859</v>
      </c>
      <c r="AB39" s="26">
        <f t="shared" ca="1" si="20"/>
        <v>123.36155098876745</v>
      </c>
      <c r="AC39" s="26">
        <f t="shared" ca="1" si="20"/>
        <v>128.47330859267944</v>
      </c>
      <c r="AD39" s="26"/>
      <c r="AE39" s="26"/>
    </row>
    <row r="40" spans="1:31" x14ac:dyDescent="0.2">
      <c r="A40" s="32" t="s">
        <v>326</v>
      </c>
      <c r="F40" s="21">
        <f t="shared" ref="F40:AC40" si="21">SUM(F$153,F$156,F$166,F$169)</f>
        <v>21.525000000000002</v>
      </c>
      <c r="G40" s="21">
        <f t="shared" si="21"/>
        <v>25.106999999999999</v>
      </c>
      <c r="H40" s="21">
        <f t="shared" si="21"/>
        <v>25.361000000000001</v>
      </c>
      <c r="I40" s="21">
        <f t="shared" si="21"/>
        <v>24.377999999999997</v>
      </c>
      <c r="J40" s="21">
        <f t="shared" si="21"/>
        <v>30.434999999999999</v>
      </c>
      <c r="K40" s="21">
        <f t="shared" si="21"/>
        <v>28.817999999999998</v>
      </c>
      <c r="L40" s="21">
        <f t="shared" si="21"/>
        <v>28.521000000000001</v>
      </c>
      <c r="M40" s="21">
        <f t="shared" si="21"/>
        <v>28.231000000000002</v>
      </c>
      <c r="N40" s="21">
        <f t="shared" si="21"/>
        <v>28.957999999999998</v>
      </c>
      <c r="O40" s="24">
        <f t="shared" si="21"/>
        <v>29.157</v>
      </c>
      <c r="P40" s="24">
        <f t="shared" si="21"/>
        <v>29.942999999999998</v>
      </c>
      <c r="Q40" s="24">
        <f t="shared" si="21"/>
        <v>31.189</v>
      </c>
      <c r="R40" s="24">
        <f t="shared" si="21"/>
        <v>32.011000000000003</v>
      </c>
      <c r="S40" s="24">
        <f t="shared" si="21"/>
        <v>32.862000000000002</v>
      </c>
      <c r="T40" s="26">
        <f t="shared" ca="1" si="21"/>
        <v>34.015519000205899</v>
      </c>
      <c r="U40" s="26">
        <f t="shared" ca="1" si="21"/>
        <v>35.669734580293252</v>
      </c>
      <c r="V40" s="26">
        <f t="shared" ca="1" si="21"/>
        <v>37.396068225860496</v>
      </c>
      <c r="W40" s="26">
        <f t="shared" ca="1" si="21"/>
        <v>39.121098588916212</v>
      </c>
      <c r="X40" s="26">
        <f t="shared" ca="1" si="21"/>
        <v>40.915774002352599</v>
      </c>
      <c r="Y40" s="26">
        <f t="shared" ca="1" si="21"/>
        <v>42.766146178352059</v>
      </c>
      <c r="Z40" s="26">
        <f t="shared" ca="1" si="21"/>
        <v>44.677247615492952</v>
      </c>
      <c r="AA40" s="26">
        <f t="shared" ca="1" si="21"/>
        <v>46.628448281803564</v>
      </c>
      <c r="AB40" s="26">
        <f t="shared" ca="1" si="21"/>
        <v>48.635919008391255</v>
      </c>
      <c r="AC40" s="26">
        <f t="shared" ca="1" si="21"/>
        <v>50.694304968032668</v>
      </c>
      <c r="AD40" s="26"/>
      <c r="AE40" s="26"/>
    </row>
    <row r="41" spans="1:31" x14ac:dyDescent="0.2">
      <c r="A41" s="31" t="s">
        <v>345</v>
      </c>
      <c r="F41" s="56">
        <f>SUM(F$39:F$40)</f>
        <v>74.588999999999999</v>
      </c>
      <c r="G41" s="56">
        <f t="shared" ref="G41:AC41" si="22">SUM(G$39:G$40)</f>
        <v>81.478999999999999</v>
      </c>
      <c r="H41" s="56">
        <f t="shared" si="22"/>
        <v>79.506</v>
      </c>
      <c r="I41" s="56">
        <f t="shared" si="22"/>
        <v>74.724999999999994</v>
      </c>
      <c r="J41" s="56">
        <f t="shared" si="22"/>
        <v>81.563000000000002</v>
      </c>
      <c r="K41" s="56">
        <f t="shared" si="22"/>
        <v>83.48299999999999</v>
      </c>
      <c r="L41" s="56">
        <f t="shared" si="22"/>
        <v>86.655000000000001</v>
      </c>
      <c r="M41" s="56">
        <f t="shared" si="22"/>
        <v>89.198999999999984</v>
      </c>
      <c r="N41" s="56">
        <f t="shared" si="22"/>
        <v>95.013000000000005</v>
      </c>
      <c r="O41" s="57">
        <f t="shared" si="22"/>
        <v>96.804999999999993</v>
      </c>
      <c r="P41" s="57">
        <f t="shared" si="22"/>
        <v>100.169</v>
      </c>
      <c r="Q41" s="57">
        <f t="shared" si="22"/>
        <v>105.53999999999999</v>
      </c>
      <c r="R41" s="57">
        <f t="shared" si="22"/>
        <v>111.14500000000001</v>
      </c>
      <c r="S41" s="57">
        <f t="shared" si="22"/>
        <v>116.00300000000001</v>
      </c>
      <c r="T41" s="58">
        <f t="shared" ca="1" si="22"/>
        <v>121.20125949911707</v>
      </c>
      <c r="U41" s="58">
        <f t="shared" ca="1" si="22"/>
        <v>126.88205949104993</v>
      </c>
      <c r="V41" s="58">
        <f t="shared" ca="1" si="22"/>
        <v>132.8717953266104</v>
      </c>
      <c r="W41" s="58">
        <f t="shared" ca="1" si="22"/>
        <v>138.99009905747073</v>
      </c>
      <c r="X41" s="58">
        <f t="shared" ca="1" si="22"/>
        <v>145.17294664697621</v>
      </c>
      <c r="Y41" s="58">
        <f t="shared" ca="1" si="22"/>
        <v>151.60055862702939</v>
      </c>
      <c r="Z41" s="58">
        <f t="shared" ca="1" si="22"/>
        <v>158.22293291847029</v>
      </c>
      <c r="AA41" s="58">
        <f t="shared" ca="1" si="22"/>
        <v>165.02275412562216</v>
      </c>
      <c r="AB41" s="58">
        <f t="shared" ca="1" si="22"/>
        <v>171.9974699971587</v>
      </c>
      <c r="AC41" s="58">
        <f t="shared" ca="1" si="22"/>
        <v>179.16761356071211</v>
      </c>
      <c r="AD41" s="26"/>
      <c r="AE41" s="26"/>
    </row>
    <row r="42" spans="1:31" x14ac:dyDescent="0.2">
      <c r="A42" s="32" t="s">
        <v>349</v>
      </c>
      <c r="F42" s="21">
        <f t="shared" ref="F42:AC42" si="23">SUM(F$187,F$206,F$213,F$220,F$236,F$243)</f>
        <v>65.843999999999994</v>
      </c>
      <c r="G42" s="21">
        <f t="shared" si="23"/>
        <v>72.741</v>
      </c>
      <c r="H42" s="21">
        <f t="shared" si="23"/>
        <v>80.329000000000008</v>
      </c>
      <c r="I42" s="21">
        <f t="shared" si="23"/>
        <v>78.262999999999991</v>
      </c>
      <c r="J42" s="21">
        <f t="shared" si="23"/>
        <v>96.363000000000014</v>
      </c>
      <c r="K42" s="21">
        <f t="shared" si="23"/>
        <v>88.432999999999993</v>
      </c>
      <c r="L42" s="21">
        <f t="shared" si="23"/>
        <v>86.649000000000001</v>
      </c>
      <c r="M42" s="21">
        <f t="shared" si="23"/>
        <v>87.442000000000007</v>
      </c>
      <c r="N42" s="21">
        <f t="shared" si="23"/>
        <v>89.708999999999989</v>
      </c>
      <c r="O42" s="24">
        <f t="shared" si="23"/>
        <v>92.029999999999987</v>
      </c>
      <c r="P42" s="24">
        <f t="shared" si="23"/>
        <v>93.344999999999999</v>
      </c>
      <c r="Q42" s="24">
        <f t="shared" si="23"/>
        <v>95.292000000000016</v>
      </c>
      <c r="R42" s="24">
        <f t="shared" si="23"/>
        <v>96.499000000000009</v>
      </c>
      <c r="S42" s="24">
        <f t="shared" si="23"/>
        <v>98.123000000000005</v>
      </c>
      <c r="T42" s="26">
        <f t="shared" ca="1" si="23"/>
        <v>100.57117132265178</v>
      </c>
      <c r="U42" s="26">
        <f t="shared" ca="1" si="23"/>
        <v>103.24233481920881</v>
      </c>
      <c r="V42" s="26">
        <f t="shared" ca="1" si="23"/>
        <v>106.21642831797126</v>
      </c>
      <c r="W42" s="26">
        <f t="shared" ca="1" si="23"/>
        <v>109.37575014937944</v>
      </c>
      <c r="X42" s="26">
        <f t="shared" ca="1" si="23"/>
        <v>112.65494106411859</v>
      </c>
      <c r="Y42" s="26">
        <f t="shared" ca="1" si="23"/>
        <v>116.09583323589057</v>
      </c>
      <c r="Z42" s="26">
        <f t="shared" ca="1" si="23"/>
        <v>119.67742298396702</v>
      </c>
      <c r="AA42" s="26">
        <f t="shared" ca="1" si="23"/>
        <v>123.36878162003772</v>
      </c>
      <c r="AB42" s="26">
        <f t="shared" ca="1" si="23"/>
        <v>127.13686982214892</v>
      </c>
      <c r="AC42" s="26">
        <f t="shared" ca="1" si="23"/>
        <v>130.96805458653483</v>
      </c>
      <c r="AD42" s="26"/>
      <c r="AE42" s="26"/>
    </row>
    <row r="43" spans="1:31" x14ac:dyDescent="0.2">
      <c r="A43" s="32" t="s">
        <v>235</v>
      </c>
      <c r="F43" s="21">
        <f>F$241</f>
        <v>0</v>
      </c>
      <c r="G43" s="21">
        <f t="shared" ref="G43:AC43" si="24">G$241</f>
        <v>0</v>
      </c>
      <c r="H43" s="21">
        <f t="shared" si="24"/>
        <v>0</v>
      </c>
      <c r="I43" s="21">
        <f t="shared" si="24"/>
        <v>0</v>
      </c>
      <c r="J43" s="21">
        <f t="shared" si="24"/>
        <v>0</v>
      </c>
      <c r="K43" s="21">
        <f t="shared" si="24"/>
        <v>0</v>
      </c>
      <c r="L43" s="21">
        <f t="shared" si="24"/>
        <v>0</v>
      </c>
      <c r="M43" s="21">
        <f t="shared" si="24"/>
        <v>0</v>
      </c>
      <c r="N43" s="21">
        <f t="shared" si="24"/>
        <v>0</v>
      </c>
      <c r="O43" s="24">
        <f t="shared" si="24"/>
        <v>0.27100000000000002</v>
      </c>
      <c r="P43" s="24">
        <f t="shared" si="24"/>
        <v>1.123</v>
      </c>
      <c r="Q43" s="24">
        <f t="shared" si="24"/>
        <v>3.681</v>
      </c>
      <c r="R43" s="24">
        <f t="shared" si="24"/>
        <v>5.3650000000000002</v>
      </c>
      <c r="S43" s="24">
        <f t="shared" si="24"/>
        <v>6.9359999999999999</v>
      </c>
      <c r="T43" s="26">
        <f t="shared" ca="1" si="24"/>
        <v>8.4969999999999999</v>
      </c>
      <c r="U43" s="26">
        <f t="shared" ca="1" si="24"/>
        <v>10.089219999999999</v>
      </c>
      <c r="V43" s="26">
        <f t="shared" ca="1" si="24"/>
        <v>11.713284399999999</v>
      </c>
      <c r="W43" s="26">
        <f t="shared" ca="1" si="24"/>
        <v>13.369830087999999</v>
      </c>
      <c r="X43" s="26">
        <f t="shared" ca="1" si="24"/>
        <v>15.059506689759999</v>
      </c>
      <c r="Y43" s="26">
        <f t="shared" ca="1" si="24"/>
        <v>16.782976823555199</v>
      </c>
      <c r="Z43" s="26">
        <f t="shared" ca="1" si="24"/>
        <v>18.540916360026301</v>
      </c>
      <c r="AA43" s="26">
        <f t="shared" ca="1" si="24"/>
        <v>20.334014687226826</v>
      </c>
      <c r="AB43" s="26">
        <f t="shared" ca="1" si="24"/>
        <v>22.162974980971363</v>
      </c>
      <c r="AC43" s="26">
        <f t="shared" ca="1" si="24"/>
        <v>24.02851448059079</v>
      </c>
      <c r="AD43" s="26"/>
      <c r="AE43" s="26"/>
    </row>
    <row r="44" spans="1:31" x14ac:dyDescent="0.2">
      <c r="A44" s="3" t="s">
        <v>327</v>
      </c>
      <c r="F44" s="21">
        <f>F$227</f>
        <v>2.8850000000000002</v>
      </c>
      <c r="G44" s="21">
        <f t="shared" ref="G44:AC44" si="25">G$227</f>
        <v>3.1010000000000004</v>
      </c>
      <c r="H44" s="21">
        <f t="shared" si="25"/>
        <v>3.0699999999999994</v>
      </c>
      <c r="I44" s="21">
        <f t="shared" si="25"/>
        <v>2.7769999999999997</v>
      </c>
      <c r="J44" s="21">
        <f t="shared" si="25"/>
        <v>3.5960000000000001</v>
      </c>
      <c r="K44" s="21">
        <f t="shared" si="25"/>
        <v>4.29</v>
      </c>
      <c r="L44" s="21">
        <f t="shared" si="25"/>
        <v>4.3579999999999997</v>
      </c>
      <c r="M44" s="21">
        <f t="shared" si="25"/>
        <v>4.4000000000000004</v>
      </c>
      <c r="N44" s="21">
        <f t="shared" si="25"/>
        <v>4.5629999999999997</v>
      </c>
      <c r="O44" s="24">
        <f t="shared" si="25"/>
        <v>4.4210000000000003</v>
      </c>
      <c r="P44" s="24">
        <f t="shared" si="25"/>
        <v>4.83</v>
      </c>
      <c r="Q44" s="24">
        <f t="shared" si="25"/>
        <v>5.077</v>
      </c>
      <c r="R44" s="24">
        <f t="shared" si="25"/>
        <v>5.26</v>
      </c>
      <c r="S44" s="24">
        <f t="shared" si="25"/>
        <v>5.4079999999999995</v>
      </c>
      <c r="T44" s="26">
        <f t="shared" ca="1" si="25"/>
        <v>5.5790826858549849</v>
      </c>
      <c r="U44" s="26">
        <f t="shared" ca="1" si="25"/>
        <v>5.6231703003437854</v>
      </c>
      <c r="V44" s="26">
        <f t="shared" ca="1" si="25"/>
        <v>5.6688372671142364</v>
      </c>
      <c r="W44" s="26">
        <f t="shared" ca="1" si="25"/>
        <v>5.7256310684383083</v>
      </c>
      <c r="X44" s="26">
        <f t="shared" ca="1" si="25"/>
        <v>5.7212494958758553</v>
      </c>
      <c r="Y44" s="26">
        <f t="shared" ca="1" si="25"/>
        <v>5.6499103663500678</v>
      </c>
      <c r="Z44" s="26">
        <f t="shared" ca="1" si="25"/>
        <v>5.4982464507993596</v>
      </c>
      <c r="AA44" s="26">
        <f t="shared" ca="1" si="25"/>
        <v>5.1182013726696294</v>
      </c>
      <c r="AB44" s="26">
        <f t="shared" ca="1" si="25"/>
        <v>4.6415154595791348</v>
      </c>
      <c r="AC44" s="26">
        <f t="shared" ca="1" si="25"/>
        <v>4.0630647647359197</v>
      </c>
      <c r="AD44" s="26"/>
      <c r="AE44" s="26"/>
    </row>
    <row r="45" spans="1:31" x14ac:dyDescent="0.2">
      <c r="A45" s="31" t="s">
        <v>346</v>
      </c>
      <c r="F45" s="56">
        <f>SUM(F$42:F$44)</f>
        <v>68.728999999999999</v>
      </c>
      <c r="G45" s="56">
        <f t="shared" ref="G45:AC45" si="26">SUM(G$42:G$44)</f>
        <v>75.841999999999999</v>
      </c>
      <c r="H45" s="56">
        <f t="shared" si="26"/>
        <v>83.399000000000001</v>
      </c>
      <c r="I45" s="56">
        <f t="shared" si="26"/>
        <v>81.039999999999992</v>
      </c>
      <c r="J45" s="56">
        <f t="shared" si="26"/>
        <v>99.959000000000017</v>
      </c>
      <c r="K45" s="56">
        <f t="shared" si="26"/>
        <v>92.722999999999999</v>
      </c>
      <c r="L45" s="56">
        <f t="shared" si="26"/>
        <v>91.007000000000005</v>
      </c>
      <c r="M45" s="56">
        <f t="shared" si="26"/>
        <v>91.842000000000013</v>
      </c>
      <c r="N45" s="56">
        <f t="shared" si="26"/>
        <v>94.271999999999991</v>
      </c>
      <c r="O45" s="57">
        <f t="shared" si="26"/>
        <v>96.721999999999994</v>
      </c>
      <c r="P45" s="57">
        <f t="shared" si="26"/>
        <v>99.298000000000002</v>
      </c>
      <c r="Q45" s="57">
        <f t="shared" si="26"/>
        <v>104.05000000000001</v>
      </c>
      <c r="R45" s="57">
        <f t="shared" si="26"/>
        <v>107.12400000000001</v>
      </c>
      <c r="S45" s="57">
        <f t="shared" si="26"/>
        <v>110.467</v>
      </c>
      <c r="T45" s="58">
        <f t="shared" ca="1" si="26"/>
        <v>114.64725400850676</v>
      </c>
      <c r="U45" s="58">
        <f t="shared" ca="1" si="26"/>
        <v>118.95472511955259</v>
      </c>
      <c r="V45" s="58">
        <f t="shared" ca="1" si="26"/>
        <v>123.5985499850855</v>
      </c>
      <c r="W45" s="58">
        <f t="shared" ca="1" si="26"/>
        <v>128.47121130581775</v>
      </c>
      <c r="X45" s="58">
        <f t="shared" ca="1" si="26"/>
        <v>133.43569724975444</v>
      </c>
      <c r="Y45" s="58">
        <f t="shared" ca="1" si="26"/>
        <v>138.52872042579583</v>
      </c>
      <c r="Z45" s="58">
        <f t="shared" ca="1" si="26"/>
        <v>143.71658579479268</v>
      </c>
      <c r="AA45" s="58">
        <f t="shared" ca="1" si="26"/>
        <v>148.82099767993418</v>
      </c>
      <c r="AB45" s="58">
        <f t="shared" ca="1" si="26"/>
        <v>153.94136026269942</v>
      </c>
      <c r="AC45" s="58">
        <f t="shared" ca="1" si="26"/>
        <v>159.05963383186153</v>
      </c>
      <c r="AD45" s="26"/>
      <c r="AE45" s="26"/>
    </row>
    <row r="46" spans="1:31" x14ac:dyDescent="0.2">
      <c r="A46" s="3" t="s">
        <v>774</v>
      </c>
      <c r="B46" s="4" t="s">
        <v>361</v>
      </c>
      <c r="F46" s="65">
        <f>'Fiscal Forecasts'!F$24</f>
        <v>0</v>
      </c>
      <c r="G46" s="65">
        <f>'Fiscal Forecasts'!G$24</f>
        <v>0</v>
      </c>
      <c r="H46" s="65">
        <f>'Fiscal Forecasts'!H$24</f>
        <v>0</v>
      </c>
      <c r="I46" s="65">
        <f>'Fiscal Forecasts'!I$24</f>
        <v>0</v>
      </c>
      <c r="J46" s="65">
        <f>'Fiscal Forecasts'!J$24</f>
        <v>0</v>
      </c>
      <c r="K46" s="65">
        <f>'Fiscal Forecasts'!K$24</f>
        <v>0</v>
      </c>
      <c r="L46" s="65">
        <f>'Fiscal Forecasts'!L$24</f>
        <v>-6.2E-2</v>
      </c>
      <c r="M46" s="65">
        <f>'Fiscal Forecasts'!M$24</f>
        <v>-0.159</v>
      </c>
      <c r="N46" s="65">
        <f>'Fiscal Forecasts'!N$24</f>
        <v>-0.32700000000000001</v>
      </c>
      <c r="O46" s="24">
        <f>'Fiscal Forecasts'!O$24</f>
        <v>-0.48399999999999999</v>
      </c>
      <c r="P46" s="24">
        <f>'Fiscal Forecasts'!P$24</f>
        <v>-0.51500000000000001</v>
      </c>
      <c r="Q46" s="24">
        <f>'Fiscal Forecasts'!Q$24</f>
        <v>-0.53300000000000003</v>
      </c>
      <c r="R46" s="24">
        <f>'Fiscal Forecasts'!R$24</f>
        <v>-0.53600000000000003</v>
      </c>
      <c r="S46" s="24">
        <f>'Fiscal Forecasts'!S$24</f>
        <v>-0.59099999999999997</v>
      </c>
      <c r="T46" s="26">
        <f t="shared" ref="T46:AC46" ca="1" si="27">S$46*T$406/S$406</f>
        <v>-0.60660231948488652</v>
      </c>
      <c r="U46" s="26">
        <f t="shared" ca="1" si="27"/>
        <v>-0.61239215164725447</v>
      </c>
      <c r="V46" s="26">
        <f t="shared" ca="1" si="27"/>
        <v>-0.61919367043388529</v>
      </c>
      <c r="W46" s="26">
        <f t="shared" ca="1" si="27"/>
        <v>-0.62701619343634352</v>
      </c>
      <c r="X46" s="26">
        <f t="shared" ca="1" si="27"/>
        <v>-0.63587549496857221</v>
      </c>
      <c r="Y46" s="26">
        <f t="shared" ca="1" si="27"/>
        <v>-0.64577727719032574</v>
      </c>
      <c r="Z46" s="26">
        <f t="shared" ca="1" si="27"/>
        <v>-0.65672429372616414</v>
      </c>
      <c r="AA46" s="26">
        <f t="shared" ca="1" si="27"/>
        <v>-0.66872018076421058</v>
      </c>
      <c r="AB46" s="26">
        <f t="shared" ca="1" si="27"/>
        <v>-0.68176292619013401</v>
      </c>
      <c r="AC46" s="26">
        <f t="shared" ca="1" si="27"/>
        <v>-0.6958582268486313</v>
      </c>
      <c r="AD46" s="26"/>
      <c r="AE46" s="26"/>
    </row>
    <row r="47" spans="1:31" x14ac:dyDescent="0.2">
      <c r="A47" s="31" t="s">
        <v>239</v>
      </c>
      <c r="F47" s="23">
        <f>F$41-F$45+F$46</f>
        <v>5.8599999999999994</v>
      </c>
      <c r="G47" s="23">
        <f t="shared" ref="G47:M47" si="28">G$41-G$45+G$46</f>
        <v>5.6370000000000005</v>
      </c>
      <c r="H47" s="23">
        <f t="shared" si="28"/>
        <v>-3.8930000000000007</v>
      </c>
      <c r="I47" s="23">
        <f t="shared" si="28"/>
        <v>-6.3149999999999977</v>
      </c>
      <c r="J47" s="23">
        <f t="shared" si="28"/>
        <v>-18.396000000000015</v>
      </c>
      <c r="K47" s="23">
        <f t="shared" si="28"/>
        <v>-9.2400000000000091</v>
      </c>
      <c r="L47" s="23">
        <f t="shared" si="28"/>
        <v>-4.4140000000000041</v>
      </c>
      <c r="M47" s="23">
        <f t="shared" si="28"/>
        <v>-2.8020000000000289</v>
      </c>
      <c r="N47" s="23">
        <f t="shared" ref="N47:AC47" si="29">N$41-N$45+N$46</f>
        <v>0.41400000000001386</v>
      </c>
      <c r="O47" s="25">
        <f t="shared" si="29"/>
        <v>-0.40100000000000158</v>
      </c>
      <c r="P47" s="25">
        <f t="shared" si="29"/>
        <v>0.3559999999999951</v>
      </c>
      <c r="Q47" s="25">
        <f t="shared" si="29"/>
        <v>0.95699999999998064</v>
      </c>
      <c r="R47" s="25">
        <f t="shared" si="29"/>
        <v>3.4850000000000008</v>
      </c>
      <c r="S47" s="25">
        <f t="shared" si="29"/>
        <v>4.9450000000000154</v>
      </c>
      <c r="T47" s="11">
        <f t="shared" ca="1" si="29"/>
        <v>5.9474031711254218</v>
      </c>
      <c r="U47" s="11">
        <f t="shared" ca="1" si="29"/>
        <v>7.3149422198500833</v>
      </c>
      <c r="V47" s="11">
        <f t="shared" ca="1" si="29"/>
        <v>8.6540516710910129</v>
      </c>
      <c r="W47" s="11">
        <f t="shared" ca="1" si="29"/>
        <v>9.8918715582166392</v>
      </c>
      <c r="X47" s="11">
        <f t="shared" ca="1" si="29"/>
        <v>11.101373902253203</v>
      </c>
      <c r="Y47" s="11">
        <f t="shared" ca="1" si="29"/>
        <v>12.426060924043234</v>
      </c>
      <c r="Z47" s="11">
        <f t="shared" ca="1" si="29"/>
        <v>13.84962282995145</v>
      </c>
      <c r="AA47" s="11">
        <f t="shared" ca="1" si="29"/>
        <v>15.533036264923766</v>
      </c>
      <c r="AB47" s="11">
        <f t="shared" ca="1" si="29"/>
        <v>17.374346808269149</v>
      </c>
      <c r="AC47" s="11">
        <f t="shared" ca="1" si="29"/>
        <v>19.412121502001948</v>
      </c>
      <c r="AD47" s="26"/>
      <c r="AE47" s="26"/>
    </row>
    <row r="48" spans="1:31" x14ac:dyDescent="0.2">
      <c r="A48" s="3" t="s">
        <v>905</v>
      </c>
      <c r="F48" s="65">
        <f t="shared" ref="F48:M48" si="30">SUM(F$331,F$337)</f>
        <v>2.0510000000000002</v>
      </c>
      <c r="G48" s="65">
        <f t="shared" si="30"/>
        <v>-3.5420000000000003</v>
      </c>
      <c r="H48" s="65">
        <f t="shared" si="30"/>
        <v>-6.7989999999999995</v>
      </c>
      <c r="I48" s="65">
        <f t="shared" si="30"/>
        <v>1.5619999999999996</v>
      </c>
      <c r="J48" s="65">
        <f t="shared" si="30"/>
        <v>4.6979999999999995</v>
      </c>
      <c r="K48" s="65">
        <f t="shared" si="30"/>
        <v>-5.8339999999999996</v>
      </c>
      <c r="L48" s="65">
        <f t="shared" si="30"/>
        <v>10.976000000000001</v>
      </c>
      <c r="M48" s="65">
        <f t="shared" si="30"/>
        <v>5.3599999999999994</v>
      </c>
      <c r="N48" s="65">
        <f t="shared" ref="N48:AC48" si="31">SUM(N$331,N$337)</f>
        <v>4.5470000000000006</v>
      </c>
      <c r="O48" s="24">
        <f t="shared" si="31"/>
        <v>0.47500000000000003</v>
      </c>
      <c r="P48" s="24">
        <f t="shared" si="31"/>
        <v>2.101</v>
      </c>
      <c r="Q48" s="24">
        <f t="shared" si="31"/>
        <v>2.177</v>
      </c>
      <c r="R48" s="24">
        <f t="shared" si="31"/>
        <v>2.4140000000000001</v>
      </c>
      <c r="S48" s="24">
        <f t="shared" si="31"/>
        <v>2.5700000000000003</v>
      </c>
      <c r="T48" s="26">
        <f t="shared" ca="1" si="31"/>
        <v>2.4965997088904772</v>
      </c>
      <c r="U48" s="26">
        <f t="shared" ca="1" si="31"/>
        <v>2.6905150883796281</v>
      </c>
      <c r="V48" s="26">
        <f t="shared" ca="1" si="31"/>
        <v>2.9484705384017462</v>
      </c>
      <c r="W48" s="26">
        <f t="shared" ca="1" si="31"/>
        <v>3.255099930339409</v>
      </c>
      <c r="X48" s="26">
        <f t="shared" ca="1" si="31"/>
        <v>3.5689377066015009</v>
      </c>
      <c r="Y48" s="26">
        <f t="shared" ca="1" si="31"/>
        <v>3.8890074014881186</v>
      </c>
      <c r="Z48" s="26">
        <f t="shared" ca="1" si="31"/>
        <v>4.2136665396126114</v>
      </c>
      <c r="AA48" s="26">
        <f t="shared" ca="1" si="31"/>
        <v>4.5411500213693623</v>
      </c>
      <c r="AB48" s="26">
        <f t="shared" ca="1" si="31"/>
        <v>4.8710176564762886</v>
      </c>
      <c r="AC48" s="26">
        <f t="shared" ca="1" si="31"/>
        <v>5.2044515448059414</v>
      </c>
      <c r="AD48" s="26"/>
      <c r="AE48" s="26"/>
    </row>
    <row r="49" spans="1:31" x14ac:dyDescent="0.2">
      <c r="A49" s="3" t="s">
        <v>896</v>
      </c>
      <c r="B49" s="4" t="str">
        <f>$B$46</f>
        <v>From Fiscal Forecasts</v>
      </c>
      <c r="F49" s="65">
        <f>'Fiscal Forecasts'!F$28</f>
        <v>1.2E-2</v>
      </c>
      <c r="G49" s="65">
        <f>'Fiscal Forecasts'!G$28</f>
        <v>-6.7000000000000004E-2</v>
      </c>
      <c r="H49" s="65">
        <f>'Fiscal Forecasts'!H$28</f>
        <v>-2.5000000000000001E-2</v>
      </c>
      <c r="I49" s="65">
        <f>'Fiscal Forecasts'!I$28</f>
        <v>1.7000000000000001E-2</v>
      </c>
      <c r="J49" s="65">
        <f>'Fiscal Forecasts'!J$28</f>
        <v>0.10100000000000001</v>
      </c>
      <c r="K49" s="65">
        <f>'Fiscal Forecasts'!K$28</f>
        <v>-5.6000000000000001E-2</v>
      </c>
      <c r="L49" s="65">
        <f>'Fiscal Forecasts'!L$28</f>
        <v>-3.2000000000000001E-2</v>
      </c>
      <c r="M49" s="65">
        <f>'Fiscal Forecasts'!M$28</f>
        <v>2.1000000000000001E-2</v>
      </c>
      <c r="N49" s="65">
        <f>'Fiscal Forecasts'!N$28</f>
        <v>-0.218</v>
      </c>
      <c r="O49" s="24">
        <f>'Fiscal Forecasts'!O$28</f>
        <v>-4.2000000000000003E-2</v>
      </c>
      <c r="P49" s="24">
        <f>'Fiscal Forecasts'!P$28</f>
        <v>-1.0999999999999999E-2</v>
      </c>
      <c r="Q49" s="24">
        <f>'Fiscal Forecasts'!Q$28</f>
        <v>-0.01</v>
      </c>
      <c r="R49" s="24">
        <f>'Fiscal Forecasts'!R$28</f>
        <v>-2E-3</v>
      </c>
      <c r="S49" s="24">
        <f>'Fiscal Forecasts'!S$28</f>
        <v>-6.0000000000000001E-3</v>
      </c>
      <c r="T49" s="26">
        <f t="shared" ref="T49:AC49" ca="1" si="32">S$49*T$406/S$406</f>
        <v>-6.1583991825876804E-3</v>
      </c>
      <c r="U49" s="26">
        <f t="shared" ca="1" si="32"/>
        <v>-6.2171792045406541E-3</v>
      </c>
      <c r="V49" s="26">
        <f t="shared" ca="1" si="32"/>
        <v>-6.2862301566891906E-3</v>
      </c>
      <c r="W49" s="26">
        <f t="shared" ca="1" si="32"/>
        <v>-6.3656466338715073E-3</v>
      </c>
      <c r="X49" s="26">
        <f t="shared" ca="1" si="32"/>
        <v>-6.4555887814068246E-3</v>
      </c>
      <c r="Y49" s="26">
        <f t="shared" ca="1" si="32"/>
        <v>-6.5561144892418858E-3</v>
      </c>
      <c r="Z49" s="26">
        <f t="shared" ca="1" si="32"/>
        <v>-6.6672517129559806E-3</v>
      </c>
      <c r="AA49" s="26">
        <f t="shared" ca="1" si="32"/>
        <v>-6.7890373681645739E-3</v>
      </c>
      <c r="AB49" s="26">
        <f t="shared" ca="1" si="32"/>
        <v>-6.9214510273110054E-3</v>
      </c>
      <c r="AC49" s="26">
        <f t="shared" ca="1" si="32"/>
        <v>-7.0645505263820449E-3</v>
      </c>
      <c r="AD49" s="26"/>
      <c r="AE49" s="26"/>
    </row>
    <row r="50" spans="1:31" x14ac:dyDescent="0.2">
      <c r="A50" s="31" t="s">
        <v>242</v>
      </c>
      <c r="B50" s="4"/>
      <c r="F50" s="56">
        <f>SUM(F$48:F$49)</f>
        <v>2.0630000000000002</v>
      </c>
      <c r="G50" s="56">
        <f t="shared" ref="G50:AC50" si="33">SUM(G$48:G$49)</f>
        <v>-3.6090000000000004</v>
      </c>
      <c r="H50" s="56">
        <f t="shared" si="33"/>
        <v>-6.8239999999999998</v>
      </c>
      <c r="I50" s="56">
        <f t="shared" si="33"/>
        <v>1.5789999999999995</v>
      </c>
      <c r="J50" s="56">
        <f t="shared" si="33"/>
        <v>4.7989999999999995</v>
      </c>
      <c r="K50" s="56">
        <f t="shared" si="33"/>
        <v>-5.89</v>
      </c>
      <c r="L50" s="56">
        <f t="shared" si="33"/>
        <v>10.944000000000001</v>
      </c>
      <c r="M50" s="56">
        <f t="shared" si="33"/>
        <v>5.3809999999999993</v>
      </c>
      <c r="N50" s="56">
        <f t="shared" si="33"/>
        <v>4.3290000000000006</v>
      </c>
      <c r="O50" s="57">
        <f t="shared" si="33"/>
        <v>0.43300000000000005</v>
      </c>
      <c r="P50" s="57">
        <f t="shared" si="33"/>
        <v>2.09</v>
      </c>
      <c r="Q50" s="57">
        <f t="shared" si="33"/>
        <v>2.1670000000000003</v>
      </c>
      <c r="R50" s="57">
        <f t="shared" si="33"/>
        <v>2.4120000000000004</v>
      </c>
      <c r="S50" s="57">
        <f t="shared" si="33"/>
        <v>2.5640000000000005</v>
      </c>
      <c r="T50" s="58">
        <f t="shared" ca="1" si="33"/>
        <v>2.4904413097078897</v>
      </c>
      <c r="U50" s="58">
        <f t="shared" ca="1" si="33"/>
        <v>2.6842979091750876</v>
      </c>
      <c r="V50" s="58">
        <f t="shared" ca="1" si="33"/>
        <v>2.9421843082450572</v>
      </c>
      <c r="W50" s="58">
        <f t="shared" ca="1" si="33"/>
        <v>3.2487342837055375</v>
      </c>
      <c r="X50" s="58">
        <f t="shared" ca="1" si="33"/>
        <v>3.5624821178200943</v>
      </c>
      <c r="Y50" s="58">
        <f t="shared" ca="1" si="33"/>
        <v>3.8824512869988768</v>
      </c>
      <c r="Z50" s="58">
        <f t="shared" ca="1" si="33"/>
        <v>4.2069992878996558</v>
      </c>
      <c r="AA50" s="58">
        <f t="shared" ca="1" si="33"/>
        <v>4.5343609840011974</v>
      </c>
      <c r="AB50" s="58">
        <f t="shared" ca="1" si="33"/>
        <v>4.8640962054489778</v>
      </c>
      <c r="AC50" s="58">
        <f t="shared" ca="1" si="33"/>
        <v>5.197386994279559</v>
      </c>
      <c r="AD50" s="26"/>
      <c r="AE50" s="26"/>
    </row>
    <row r="51" spans="1:31" x14ac:dyDescent="0.2">
      <c r="A51" s="3" t="s">
        <v>243</v>
      </c>
      <c r="B51" s="4"/>
      <c r="F51" s="21">
        <f t="shared" ref="F51:L51" si="34">F$341</f>
        <v>9.9000000000000005E-2</v>
      </c>
      <c r="G51" s="21">
        <f t="shared" si="34"/>
        <v>0.35600000000000004</v>
      </c>
      <c r="H51" s="21">
        <f t="shared" si="34"/>
        <v>0.21199999999999999</v>
      </c>
      <c r="I51" s="21">
        <f t="shared" si="34"/>
        <v>0.22700000000000001</v>
      </c>
      <c r="J51" s="21">
        <f t="shared" si="34"/>
        <v>0.23699999999999999</v>
      </c>
      <c r="K51" s="21">
        <f t="shared" si="34"/>
        <v>0.23300000000000001</v>
      </c>
      <c r="L51" s="21">
        <f t="shared" si="34"/>
        <v>0.39500000000000002</v>
      </c>
      <c r="M51" s="21">
        <f t="shared" ref="M51:AC51" si="35">M$341</f>
        <v>0.36</v>
      </c>
      <c r="N51" s="21">
        <f t="shared" si="35"/>
        <v>1.028</v>
      </c>
      <c r="O51" s="24">
        <f t="shared" si="35"/>
        <v>0.26600000000000001</v>
      </c>
      <c r="P51" s="24">
        <f t="shared" si="35"/>
        <v>0.27900000000000003</v>
      </c>
      <c r="Q51" s="24">
        <f t="shared" si="35"/>
        <v>0.27900000000000003</v>
      </c>
      <c r="R51" s="24">
        <f t="shared" si="35"/>
        <v>0.28100000000000003</v>
      </c>
      <c r="S51" s="24">
        <f t="shared" si="35"/>
        <v>0.28299999999999997</v>
      </c>
      <c r="T51" s="26">
        <f t="shared" ca="1" si="35"/>
        <v>0.2955687806247958</v>
      </c>
      <c r="U51" s="26">
        <f t="shared" ca="1" si="35"/>
        <v>0.30867151939751253</v>
      </c>
      <c r="V51" s="26">
        <f t="shared" ca="1" si="35"/>
        <v>0.32252791294626137</v>
      </c>
      <c r="W51" s="26">
        <f t="shared" ca="1" si="35"/>
        <v>0.33689938208849934</v>
      </c>
      <c r="X51" s="26">
        <f t="shared" ca="1" si="35"/>
        <v>0.35186355938111236</v>
      </c>
      <c r="Y51" s="26">
        <f t="shared" ca="1" si="35"/>
        <v>0.36731155061990328</v>
      </c>
      <c r="Z51" s="26">
        <f t="shared" ca="1" si="35"/>
        <v>0.38321189774882664</v>
      </c>
      <c r="AA51" s="26">
        <f t="shared" ca="1" si="35"/>
        <v>0.39957578752554368</v>
      </c>
      <c r="AB51" s="26">
        <f t="shared" ca="1" si="35"/>
        <v>0.41634003033671085</v>
      </c>
      <c r="AC51" s="26">
        <f t="shared" ca="1" si="35"/>
        <v>0.43359199660033554</v>
      </c>
      <c r="AD51" s="26"/>
      <c r="AE51" s="26"/>
    </row>
    <row r="52" spans="1:31" x14ac:dyDescent="0.2">
      <c r="A52" s="31" t="s">
        <v>895</v>
      </c>
      <c r="F52" s="56">
        <f>SUM(F$47,F$50,F$51)</f>
        <v>8.0220000000000002</v>
      </c>
      <c r="G52" s="56">
        <f t="shared" ref="G52:AC52" si="36">SUM(G$47,G$50,G$51)</f>
        <v>2.3839999999999999</v>
      </c>
      <c r="H52" s="56">
        <f t="shared" si="36"/>
        <v>-10.505000000000001</v>
      </c>
      <c r="I52" s="56">
        <f t="shared" si="36"/>
        <v>-4.5089999999999977</v>
      </c>
      <c r="J52" s="56">
        <f t="shared" si="36"/>
        <v>-13.360000000000015</v>
      </c>
      <c r="K52" s="56">
        <f t="shared" si="36"/>
        <v>-14.897000000000009</v>
      </c>
      <c r="L52" s="56">
        <f t="shared" si="36"/>
        <v>6.9249999999999972</v>
      </c>
      <c r="M52" s="56">
        <f t="shared" si="36"/>
        <v>2.9389999999999703</v>
      </c>
      <c r="N52" s="56">
        <f t="shared" si="36"/>
        <v>5.771000000000015</v>
      </c>
      <c r="O52" s="57">
        <f t="shared" si="36"/>
        <v>0.29799999999999849</v>
      </c>
      <c r="P52" s="57">
        <f t="shared" si="36"/>
        <v>2.7249999999999948</v>
      </c>
      <c r="Q52" s="57">
        <f t="shared" si="36"/>
        <v>3.4029999999999809</v>
      </c>
      <c r="R52" s="57">
        <f t="shared" si="36"/>
        <v>6.1780000000000008</v>
      </c>
      <c r="S52" s="57">
        <f t="shared" si="36"/>
        <v>7.7920000000000167</v>
      </c>
      <c r="T52" s="58">
        <f t="shared" ca="1" si="36"/>
        <v>8.7334132614581073</v>
      </c>
      <c r="U52" s="58">
        <f t="shared" ca="1" si="36"/>
        <v>10.307911648422683</v>
      </c>
      <c r="V52" s="58">
        <f t="shared" ca="1" si="36"/>
        <v>11.918763892282332</v>
      </c>
      <c r="W52" s="58">
        <f t="shared" ca="1" si="36"/>
        <v>13.477505224010677</v>
      </c>
      <c r="X52" s="58">
        <f t="shared" ca="1" si="36"/>
        <v>15.015719579454409</v>
      </c>
      <c r="Y52" s="58">
        <f t="shared" ca="1" si="36"/>
        <v>16.675823761662013</v>
      </c>
      <c r="Z52" s="58">
        <f t="shared" ca="1" si="36"/>
        <v>18.439834015599931</v>
      </c>
      <c r="AA52" s="58">
        <f t="shared" ca="1" si="36"/>
        <v>20.466973036450504</v>
      </c>
      <c r="AB52" s="58">
        <f t="shared" ca="1" si="36"/>
        <v>22.654783044054838</v>
      </c>
      <c r="AC52" s="58">
        <f t="shared" ca="1" si="36"/>
        <v>25.043100492881841</v>
      </c>
      <c r="AD52" s="26"/>
      <c r="AE52" s="26"/>
    </row>
    <row r="53" spans="1:31" x14ac:dyDescent="0.2">
      <c r="A53" s="32" t="s">
        <v>897</v>
      </c>
      <c r="F53" s="21">
        <f>F$52-SUM(F$46,F$49)</f>
        <v>8.01</v>
      </c>
      <c r="G53" s="21">
        <f t="shared" ref="G53:AC53" si="37">G$52-SUM(G$46,G$49)</f>
        <v>2.4510000000000001</v>
      </c>
      <c r="H53" s="21">
        <f t="shared" si="37"/>
        <v>-10.48</v>
      </c>
      <c r="I53" s="21">
        <f t="shared" si="37"/>
        <v>-4.525999999999998</v>
      </c>
      <c r="J53" s="21">
        <f t="shared" si="37"/>
        <v>-13.461000000000016</v>
      </c>
      <c r="K53" s="21">
        <f t="shared" si="37"/>
        <v>-14.84100000000001</v>
      </c>
      <c r="L53" s="21">
        <f t="shared" si="37"/>
        <v>7.0189999999999975</v>
      </c>
      <c r="M53" s="21">
        <f t="shared" si="37"/>
        <v>3.0769999999999702</v>
      </c>
      <c r="N53" s="21">
        <f t="shared" si="37"/>
        <v>6.3160000000000149</v>
      </c>
      <c r="O53" s="24">
        <f t="shared" si="37"/>
        <v>0.82399999999999851</v>
      </c>
      <c r="P53" s="24">
        <f t="shared" si="37"/>
        <v>3.250999999999995</v>
      </c>
      <c r="Q53" s="24">
        <f t="shared" si="37"/>
        <v>3.9459999999999811</v>
      </c>
      <c r="R53" s="24">
        <f t="shared" si="37"/>
        <v>6.7160000000000011</v>
      </c>
      <c r="S53" s="24">
        <f t="shared" si="37"/>
        <v>8.3890000000000171</v>
      </c>
      <c r="T53" s="26">
        <f t="shared" ca="1" si="37"/>
        <v>9.346173980125581</v>
      </c>
      <c r="U53" s="26">
        <f t="shared" ca="1" si="37"/>
        <v>10.926520979274478</v>
      </c>
      <c r="V53" s="26">
        <f t="shared" ca="1" si="37"/>
        <v>12.544243792872907</v>
      </c>
      <c r="W53" s="26">
        <f t="shared" ca="1" si="37"/>
        <v>14.110887064080892</v>
      </c>
      <c r="X53" s="26">
        <f t="shared" ca="1" si="37"/>
        <v>15.658050663204389</v>
      </c>
      <c r="Y53" s="26">
        <f t="shared" ca="1" si="37"/>
        <v>17.328157153341582</v>
      </c>
      <c r="Z53" s="26">
        <f t="shared" ca="1" si="37"/>
        <v>19.10322556103905</v>
      </c>
      <c r="AA53" s="26">
        <f t="shared" ca="1" si="37"/>
        <v>21.14248225458288</v>
      </c>
      <c r="AB53" s="26">
        <f t="shared" ca="1" si="37"/>
        <v>23.343467421272283</v>
      </c>
      <c r="AC53" s="26">
        <f t="shared" ca="1" si="37"/>
        <v>25.746023270256856</v>
      </c>
      <c r="AD53" s="26"/>
      <c r="AE53" s="26"/>
    </row>
    <row r="54" spans="1:31" x14ac:dyDescent="0.2">
      <c r="A54" s="5" t="s">
        <v>893</v>
      </c>
      <c r="F54" s="7" t="str">
        <f>IF(ROUND(SUM(F$194,F$246,F$252,F$262,F$270,F$273,F$276,F$283,F$289,F$296,F$299,F$302,F$308,F$311,F$227,F$241,F$243)-SUM(F$187,F$206,F$213,F$220,F$227,F$236,F$241,F$243),3)=0,"OK","ERROR")</f>
        <v>OK</v>
      </c>
      <c r="G54" s="7" t="str">
        <f t="shared" ref="G54:AC54" si="38">IF(ROUND(SUM(G$194,G$246,G$252,G$262,G$270,G$273,G$276,G$283,G$289,G$296,G$299,G$302,G$308,G$311,G$227,G$241,G$243)-SUM(G$187,G$206,G$213,G$220,G$227,G$236,G$241,G$243),3)=0,"OK","ERROR")</f>
        <v>OK</v>
      </c>
      <c r="H54" s="7" t="str">
        <f t="shared" si="38"/>
        <v>OK</v>
      </c>
      <c r="I54" s="7" t="str">
        <f t="shared" si="38"/>
        <v>OK</v>
      </c>
      <c r="J54" s="7" t="str">
        <f t="shared" si="38"/>
        <v>OK</v>
      </c>
      <c r="K54" s="7" t="str">
        <f t="shared" si="38"/>
        <v>OK</v>
      </c>
      <c r="L54" s="7" t="str">
        <f t="shared" si="38"/>
        <v>OK</v>
      </c>
      <c r="M54" s="7" t="str">
        <f t="shared" si="38"/>
        <v>OK</v>
      </c>
      <c r="N54" s="7" t="str">
        <f t="shared" si="38"/>
        <v>OK</v>
      </c>
      <c r="O54" s="7" t="str">
        <f t="shared" si="38"/>
        <v>OK</v>
      </c>
      <c r="P54" s="7" t="str">
        <f t="shared" si="38"/>
        <v>OK</v>
      </c>
      <c r="Q54" s="7" t="str">
        <f t="shared" si="38"/>
        <v>OK</v>
      </c>
      <c r="R54" s="7" t="str">
        <f t="shared" si="38"/>
        <v>OK</v>
      </c>
      <c r="S54" s="7" t="str">
        <f t="shared" si="38"/>
        <v>OK</v>
      </c>
      <c r="T54" s="7" t="str">
        <f t="shared" ca="1" si="38"/>
        <v>OK</v>
      </c>
      <c r="U54" s="7" t="str">
        <f t="shared" ca="1" si="38"/>
        <v>OK</v>
      </c>
      <c r="V54" s="7" t="str">
        <f t="shared" ca="1" si="38"/>
        <v>OK</v>
      </c>
      <c r="W54" s="7" t="str">
        <f t="shared" ca="1" si="38"/>
        <v>OK</v>
      </c>
      <c r="X54" s="7" t="str">
        <f t="shared" ca="1" si="38"/>
        <v>OK</v>
      </c>
      <c r="Y54" s="7" t="str">
        <f t="shared" ca="1" si="38"/>
        <v>OK</v>
      </c>
      <c r="Z54" s="7" t="str">
        <f t="shared" ca="1" si="38"/>
        <v>OK</v>
      </c>
      <c r="AA54" s="7" t="str">
        <f t="shared" ca="1" si="38"/>
        <v>OK</v>
      </c>
      <c r="AB54" s="7" t="str">
        <f t="shared" ca="1" si="38"/>
        <v>OK</v>
      </c>
      <c r="AC54" s="7" t="str">
        <f t="shared" ca="1" si="38"/>
        <v>OK</v>
      </c>
      <c r="AD54" s="26"/>
      <c r="AE54" s="26"/>
    </row>
    <row r="55" spans="1:31" x14ac:dyDescent="0.2">
      <c r="A55" s="31" t="s">
        <v>793</v>
      </c>
      <c r="F55" s="23">
        <f t="shared" ref="F55:AC55" si="39">SUM(F$142,F$149,F$155,F$162,F$168)</f>
        <v>58.210999999999999</v>
      </c>
      <c r="G55" s="23">
        <f t="shared" si="39"/>
        <v>61.819000000000003</v>
      </c>
      <c r="H55" s="23">
        <f t="shared" si="39"/>
        <v>59.481999999999999</v>
      </c>
      <c r="I55" s="23">
        <f t="shared" si="39"/>
        <v>56.216000000000001</v>
      </c>
      <c r="J55" s="23">
        <f t="shared" si="39"/>
        <v>57.55</v>
      </c>
      <c r="K55" s="23">
        <f t="shared" si="39"/>
        <v>60.565000000000005</v>
      </c>
      <c r="L55" s="23">
        <f t="shared" si="39"/>
        <v>64.149000000000001</v>
      </c>
      <c r="M55" s="23">
        <f t="shared" si="39"/>
        <v>67.093000000000004</v>
      </c>
      <c r="N55" s="23">
        <f t="shared" si="39"/>
        <v>72.212999999999994</v>
      </c>
      <c r="O55" s="25">
        <f t="shared" si="39"/>
        <v>74.338000000000008</v>
      </c>
      <c r="P55" s="25">
        <f t="shared" si="39"/>
        <v>77.010000000000005</v>
      </c>
      <c r="Q55" s="25">
        <f t="shared" si="39"/>
        <v>81.391999999999996</v>
      </c>
      <c r="R55" s="25">
        <f t="shared" si="39"/>
        <v>86.51</v>
      </c>
      <c r="S55" s="25">
        <f t="shared" si="39"/>
        <v>90.818000000000012</v>
      </c>
      <c r="T55" s="11">
        <f t="shared" ca="1" si="39"/>
        <v>94.840229942457157</v>
      </c>
      <c r="U55" s="11">
        <f t="shared" ca="1" si="39"/>
        <v>99.316427815712231</v>
      </c>
      <c r="V55" s="11">
        <f t="shared" ca="1" si="39"/>
        <v>104.04591791337887</v>
      </c>
      <c r="W55" s="11">
        <f t="shared" ca="1" si="39"/>
        <v>108.89464542796451</v>
      </c>
      <c r="X55" s="11">
        <f t="shared" ca="1" si="39"/>
        <v>113.75362121978917</v>
      </c>
      <c r="Y55" s="11">
        <f t="shared" ca="1" si="39"/>
        <v>118.811414805944</v>
      </c>
      <c r="Z55" s="11">
        <f t="shared" ca="1" si="39"/>
        <v>124.01302710351278</v>
      </c>
      <c r="AA55" s="11">
        <f t="shared" ca="1" si="39"/>
        <v>129.36740839759679</v>
      </c>
      <c r="AB55" s="11">
        <f t="shared" ca="1" si="39"/>
        <v>134.847675585866</v>
      </c>
      <c r="AC55" s="11">
        <f t="shared" ca="1" si="39"/>
        <v>140.48647946290313</v>
      </c>
      <c r="AD55" s="26"/>
      <c r="AE55" s="26"/>
    </row>
    <row r="56" spans="1:31" x14ac:dyDescent="0.2">
      <c r="A56" s="31" t="s">
        <v>794</v>
      </c>
      <c r="F56" s="23">
        <f>SUM(F$188,F$202,F$209,F$216,F$223,F$232,F$241,F$243)</f>
        <v>54.003999999999998</v>
      </c>
      <c r="G56" s="23">
        <f t="shared" ref="G56:AC56" si="40">SUM(G$188,G$202,G$209,G$216,G$223,G$232,G$241,G$243)</f>
        <v>56.997</v>
      </c>
      <c r="H56" s="23">
        <f t="shared" si="40"/>
        <v>64.00200000000001</v>
      </c>
      <c r="I56" s="23">
        <f t="shared" si="40"/>
        <v>64.012999999999991</v>
      </c>
      <c r="J56" s="23">
        <f t="shared" si="40"/>
        <v>70.45</v>
      </c>
      <c r="K56" s="23">
        <f t="shared" si="40"/>
        <v>69.058999999999997</v>
      </c>
      <c r="L56" s="23">
        <f t="shared" si="40"/>
        <v>70.31</v>
      </c>
      <c r="M56" s="23">
        <f t="shared" si="40"/>
        <v>71.174000000000007</v>
      </c>
      <c r="N56" s="23">
        <f t="shared" si="40"/>
        <v>72.363</v>
      </c>
      <c r="O56" s="25">
        <f t="shared" si="40"/>
        <v>74.911000000000001</v>
      </c>
      <c r="P56" s="25">
        <f t="shared" si="40"/>
        <v>76.828000000000003</v>
      </c>
      <c r="Q56" s="25">
        <f t="shared" si="40"/>
        <v>80.656999999999996</v>
      </c>
      <c r="R56" s="25">
        <f t="shared" si="40"/>
        <v>83.284999999999997</v>
      </c>
      <c r="S56" s="25">
        <f t="shared" si="40"/>
        <v>86.158999999999992</v>
      </c>
      <c r="T56" s="11">
        <f t="shared" ca="1" si="40"/>
        <v>88.797200200362624</v>
      </c>
      <c r="U56" s="11">
        <f t="shared" ca="1" si="40"/>
        <v>92.0083716319117</v>
      </c>
      <c r="V56" s="11">
        <f t="shared" ca="1" si="40"/>
        <v>95.502121501067435</v>
      </c>
      <c r="W56" s="11">
        <f t="shared" ca="1" si="40"/>
        <v>99.166312869617627</v>
      </c>
      <c r="X56" s="11">
        <f t="shared" ca="1" si="40"/>
        <v>102.90232629694451</v>
      </c>
      <c r="Y56" s="11">
        <f t="shared" ca="1" si="40"/>
        <v>106.71779248477429</v>
      </c>
      <c r="Z56" s="11">
        <f t="shared" ca="1" si="40"/>
        <v>110.59411426449736</v>
      </c>
      <c r="AA56" s="11">
        <f t="shared" ca="1" si="40"/>
        <v>114.36361189098847</v>
      </c>
      <c r="AB56" s="11">
        <f t="shared" ca="1" si="40"/>
        <v>118.11219683059799</v>
      </c>
      <c r="AC56" s="11">
        <f t="shared" ca="1" si="40"/>
        <v>121.81537058979329</v>
      </c>
      <c r="AD56" s="26"/>
      <c r="AE56" s="26"/>
    </row>
    <row r="57" spans="1:31" x14ac:dyDescent="0.2">
      <c r="A57" s="31" t="s">
        <v>795</v>
      </c>
      <c r="F57" s="23">
        <f t="shared" ref="F57:AC57" si="41">SUM(F$55-F$56,F$327,F$338,F$340)</f>
        <v>6.5100000000000016</v>
      </c>
      <c r="G57" s="23">
        <f t="shared" si="41"/>
        <v>3.8890000000000029</v>
      </c>
      <c r="H57" s="23">
        <f t="shared" si="41"/>
        <v>-5.8610000000000095</v>
      </c>
      <c r="I57" s="23">
        <f t="shared" si="41"/>
        <v>-6.9989999999999908</v>
      </c>
      <c r="J57" s="23">
        <f t="shared" si="41"/>
        <v>-9.2690000000000055</v>
      </c>
      <c r="K57" s="23">
        <f t="shared" si="41"/>
        <v>-11.653999999999993</v>
      </c>
      <c r="L57" s="23">
        <f t="shared" si="41"/>
        <v>0.37099999999999911</v>
      </c>
      <c r="M57" s="23">
        <f t="shared" si="41"/>
        <v>0.29199999999999687</v>
      </c>
      <c r="N57" s="23">
        <f t="shared" si="41"/>
        <v>3.8789999999999947</v>
      </c>
      <c r="O57" s="25">
        <f t="shared" si="41"/>
        <v>-0.20299999999999324</v>
      </c>
      <c r="P57" s="25">
        <f t="shared" si="41"/>
        <v>2.2950000000000021</v>
      </c>
      <c r="Q57" s="25">
        <f t="shared" si="41"/>
        <v>2.9799999999999991</v>
      </c>
      <c r="R57" s="25">
        <f t="shared" si="41"/>
        <v>5.6300000000000088</v>
      </c>
      <c r="S57" s="25">
        <f t="shared" si="41"/>
        <v>7.2320000000000206</v>
      </c>
      <c r="T57" s="11">
        <f t="shared" ca="1" si="41"/>
        <v>8.4047607809923282</v>
      </c>
      <c r="U57" s="11">
        <f t="shared" ca="1" si="41"/>
        <v>9.8638011133687193</v>
      </c>
      <c r="V57" s="11">
        <f t="shared" ca="1" si="41"/>
        <v>11.364080296753698</v>
      </c>
      <c r="W57" s="11">
        <f t="shared" ca="1" si="41"/>
        <v>12.86621059909071</v>
      </c>
      <c r="X57" s="11">
        <f t="shared" ca="1" si="41"/>
        <v>14.314650029462314</v>
      </c>
      <c r="Y57" s="11">
        <f t="shared" ca="1" si="41"/>
        <v>15.888744275924118</v>
      </c>
      <c r="Z57" s="11">
        <f t="shared" ca="1" si="41"/>
        <v>17.549627706199381</v>
      </c>
      <c r="AA57" s="11">
        <f t="shared" ca="1" si="41"/>
        <v>19.47251854880361</v>
      </c>
      <c r="AB57" s="11">
        <f t="shared" ca="1" si="41"/>
        <v>21.544321383917485</v>
      </c>
      <c r="AC57" s="11">
        <f t="shared" ca="1" si="41"/>
        <v>23.823276183939786</v>
      </c>
      <c r="AD57" s="26"/>
      <c r="AE57" s="26"/>
    </row>
    <row r="58" spans="1:31" x14ac:dyDescent="0.2">
      <c r="A58" s="31" t="s">
        <v>1198</v>
      </c>
      <c r="F58" s="23">
        <f>F$55-F$162-(F$56-F$223)</f>
        <v>3.9570000000000007</v>
      </c>
      <c r="G58" s="23">
        <f t="shared" ref="G58:AC58" si="42">G$55-G$162-(G$56-G$223)</f>
        <v>4.9380000000000024</v>
      </c>
      <c r="H58" s="23">
        <f t="shared" si="42"/>
        <v>-3.9630000000000081</v>
      </c>
      <c r="I58" s="23">
        <f t="shared" si="42"/>
        <v>-7.620999999999988</v>
      </c>
      <c r="J58" s="23">
        <f t="shared" si="42"/>
        <v>-12.003</v>
      </c>
      <c r="K58" s="23">
        <f t="shared" si="42"/>
        <v>-6.7779999999999987</v>
      </c>
      <c r="L58" s="23">
        <f t="shared" si="42"/>
        <v>-4.644999999999996</v>
      </c>
      <c r="M58" s="23">
        <f t="shared" si="42"/>
        <v>-2.7860000000000014</v>
      </c>
      <c r="N58" s="23">
        <f t="shared" si="42"/>
        <v>1.1809999999999974</v>
      </c>
      <c r="O58" s="25">
        <f t="shared" si="42"/>
        <v>0.24400000000001398</v>
      </c>
      <c r="P58" s="25">
        <f t="shared" si="42"/>
        <v>1.2129999999999939</v>
      </c>
      <c r="Q58" s="25">
        <f t="shared" si="42"/>
        <v>1.679000000000002</v>
      </c>
      <c r="R58" s="25">
        <f t="shared" si="42"/>
        <v>4.0500000000000114</v>
      </c>
      <c r="S58" s="25">
        <f t="shared" si="42"/>
        <v>5.40300000000002</v>
      </c>
      <c r="T58" s="11">
        <f t="shared" ca="1" si="42"/>
        <v>7.1406157738568368</v>
      </c>
      <c r="U58" s="11">
        <f t="shared" ca="1" si="42"/>
        <v>8.1902717106806762</v>
      </c>
      <c r="V58" s="11">
        <f t="shared" ca="1" si="42"/>
        <v>9.2079005885586298</v>
      </c>
      <c r="W58" s="11">
        <f t="shared" ca="1" si="42"/>
        <v>10.201122458399823</v>
      </c>
      <c r="X58" s="11">
        <f t="shared" ca="1" si="42"/>
        <v>11.061259576117052</v>
      </c>
      <c r="Y58" s="11">
        <f t="shared" ca="1" si="42"/>
        <v>11.964090836179125</v>
      </c>
      <c r="Z58" s="11">
        <f t="shared" ca="1" si="42"/>
        <v>12.859478024322854</v>
      </c>
      <c r="AA58" s="11">
        <f t="shared" ca="1" si="42"/>
        <v>13.792599902233874</v>
      </c>
      <c r="AB58" s="11">
        <f t="shared" ca="1" si="42"/>
        <v>14.772054463538424</v>
      </c>
      <c r="AC58" s="11">
        <f t="shared" ca="1" si="42"/>
        <v>15.844622314492781</v>
      </c>
      <c r="AD58" s="26"/>
      <c r="AE58" s="26"/>
    </row>
    <row r="59" spans="1:31" x14ac:dyDescent="0.2">
      <c r="A59" s="31" t="s">
        <v>806</v>
      </c>
      <c r="F59" s="23">
        <f>F$469</f>
        <v>2.7919999999999998</v>
      </c>
      <c r="G59" s="23">
        <f t="shared" ref="G59:AC59" si="43">G$469</f>
        <v>2.0570000000000004</v>
      </c>
      <c r="H59" s="23">
        <f t="shared" si="43"/>
        <v>-8.6390000000000029</v>
      </c>
      <c r="I59" s="23">
        <f t="shared" si="43"/>
        <v>-8.9999999999999911</v>
      </c>
      <c r="J59" s="23">
        <f t="shared" si="43"/>
        <v>-13.342999999999996</v>
      </c>
      <c r="K59" s="23">
        <f t="shared" si="43"/>
        <v>-10.644</v>
      </c>
      <c r="L59" s="23">
        <f t="shared" si="43"/>
        <v>-5.7420000000000018</v>
      </c>
      <c r="M59" s="23">
        <f t="shared" si="43"/>
        <v>-4.1090000000000009</v>
      </c>
      <c r="N59" s="23">
        <f t="shared" si="43"/>
        <v>-1.8269999999999968</v>
      </c>
      <c r="O59" s="25">
        <f t="shared" si="43"/>
        <v>-5.3980000000000095</v>
      </c>
      <c r="P59" s="25">
        <f t="shared" si="43"/>
        <v>-4.6620000000000026</v>
      </c>
      <c r="Q59" s="25">
        <f t="shared" si="43"/>
        <v>-2.7789999999999941</v>
      </c>
      <c r="R59" s="25">
        <f t="shared" si="43"/>
        <v>0.52299999999998814</v>
      </c>
      <c r="S59" s="25">
        <f t="shared" si="43"/>
        <v>1.9300000000000068</v>
      </c>
      <c r="T59" s="11">
        <f t="shared" ca="1" si="43"/>
        <v>3.4529123219523878</v>
      </c>
      <c r="U59" s="11">
        <f t="shared" ca="1" si="43"/>
        <v>4.6704299849296218</v>
      </c>
      <c r="V59" s="11">
        <f t="shared" ca="1" si="43"/>
        <v>3.1040807384022395</v>
      </c>
      <c r="W59" s="11">
        <f t="shared" ca="1" si="43"/>
        <v>4.4166387699985936</v>
      </c>
      <c r="X59" s="11">
        <f t="shared" ca="1" si="43"/>
        <v>5.637897465296251</v>
      </c>
      <c r="Y59" s="11">
        <f t="shared" ca="1" si="43"/>
        <v>7.0195999023597242</v>
      </c>
      <c r="Z59" s="11">
        <f t="shared" ca="1" si="43"/>
        <v>8.5295642992235052</v>
      </c>
      <c r="AA59" s="11">
        <f t="shared" ca="1" si="43"/>
        <v>10.294034379609478</v>
      </c>
      <c r="AB59" s="11">
        <f t="shared" ca="1" si="43"/>
        <v>12.193591051330536</v>
      </c>
      <c r="AC59" s="11">
        <f t="shared" ca="1" si="43"/>
        <v>14.254411961611613</v>
      </c>
      <c r="AD59" s="26"/>
      <c r="AE59" s="26"/>
    </row>
    <row r="60" spans="1:31" x14ac:dyDescent="0.2">
      <c r="A60" s="5" t="s">
        <v>894</v>
      </c>
      <c r="F60" s="7" t="str">
        <f>IF(ROUND(SUM(F$191,F$245,F$249,F$258,F$269,F$272,F$275,F$279,F$288,F$295,F$298,F$301,F$307,F$310,F$223,F$241,F$243)-SUM(F$188,F$202,F$209,F$216,F$223,F$232,F$241,F$243),3)=0,"OK","ERROR")</f>
        <v>OK</v>
      </c>
      <c r="G60" s="7" t="str">
        <f t="shared" ref="G60:AC60" si="44">IF(ROUND(SUM(G$191,G$245,G$249,G$258,G$269,G$272,G$275,G$279,G$288,G$295,G$298,G$301,G$307,G$310,G$223,G$241,G$243)-SUM(G$188,G$202,G$209,G$216,G$223,G$232,G$241,G$243),3)=0,"OK","ERROR")</f>
        <v>OK</v>
      </c>
      <c r="H60" s="7" t="str">
        <f t="shared" si="44"/>
        <v>OK</v>
      </c>
      <c r="I60" s="7" t="str">
        <f t="shared" si="44"/>
        <v>OK</v>
      </c>
      <c r="J60" s="7" t="str">
        <f t="shared" si="44"/>
        <v>OK</v>
      </c>
      <c r="K60" s="7" t="str">
        <f>IF(ROUND(SUM(K$191,K$245,K$249,K$258,K$269,K$272,K$275,K$279,K$288,K$295,K$298,K$301,K$307,K$310,K$223,K$241,K$243)-SUM(K$188,K$202,K$209,K$216,K$223,K$232,K$241,K$243)-0.017,3)=0,"OK","ERROR")</f>
        <v>OK</v>
      </c>
      <c r="L60" s="7" t="str">
        <f>IF(ROUND(SUM(L$191,L$245,L$249,L$258,L$269,L$272,L$275,L$279,L$288,L$295,L$298,L$301,L$307,L$310,L$223,L$241,L$243)-SUM(L$188,L$202,L$209,L$216,L$223,L$232,L$241,L$243)--0.003,3)=0,"OK","ERROR")</f>
        <v>OK</v>
      </c>
      <c r="M60" s="7" t="str">
        <f t="shared" si="44"/>
        <v>OK</v>
      </c>
      <c r="N60" s="7" t="str">
        <f t="shared" si="44"/>
        <v>OK</v>
      </c>
      <c r="O60" s="7" t="str">
        <f t="shared" si="44"/>
        <v>OK</v>
      </c>
      <c r="P60" s="7" t="str">
        <f t="shared" si="44"/>
        <v>OK</v>
      </c>
      <c r="Q60" s="7" t="str">
        <f t="shared" si="44"/>
        <v>OK</v>
      </c>
      <c r="R60" s="7" t="str">
        <f t="shared" si="44"/>
        <v>OK</v>
      </c>
      <c r="S60" s="7" t="str">
        <f>IF(ROUND(SUM(S$191,S$245,S$249,S$258,S$269,S$272,S$275,S$279,S$288,S$295,S$298,S$301,S$307,S$310,S$223,S$241,S$243)-SUM(S$188,S$202,S$209,S$216,S$223,S$232,S$241,S$243)-0.001,3)=0,"OK","ERROR")</f>
        <v>OK</v>
      </c>
      <c r="T60" s="7" t="str">
        <f t="shared" ca="1" si="44"/>
        <v>OK</v>
      </c>
      <c r="U60" s="7" t="str">
        <f t="shared" ca="1" si="44"/>
        <v>OK</v>
      </c>
      <c r="V60" s="7" t="str">
        <f t="shared" ca="1" si="44"/>
        <v>OK</v>
      </c>
      <c r="W60" s="7" t="str">
        <f t="shared" ca="1" si="44"/>
        <v>OK</v>
      </c>
      <c r="X60" s="7" t="str">
        <f t="shared" ca="1" si="44"/>
        <v>OK</v>
      </c>
      <c r="Y60" s="7" t="str">
        <f t="shared" ca="1" si="44"/>
        <v>OK</v>
      </c>
      <c r="Z60" s="7" t="str">
        <f t="shared" ca="1" si="44"/>
        <v>OK</v>
      </c>
      <c r="AA60" s="7" t="str">
        <f t="shared" ca="1" si="44"/>
        <v>OK</v>
      </c>
      <c r="AB60" s="7" t="str">
        <f t="shared" ca="1" si="44"/>
        <v>OK</v>
      </c>
      <c r="AC60" s="7" t="str">
        <f t="shared" ca="1" si="44"/>
        <v>OK</v>
      </c>
      <c r="AD60" s="26"/>
      <c r="AE60" s="26"/>
    </row>
    <row r="61" spans="1:31" ht="15.75" x14ac:dyDescent="0.25">
      <c r="A61" s="1" t="s">
        <v>348</v>
      </c>
      <c r="AD61" s="26"/>
      <c r="AE61" s="26"/>
    </row>
    <row r="62" spans="1:31" x14ac:dyDescent="0.2">
      <c r="A62" s="3" t="s">
        <v>350</v>
      </c>
      <c r="F62" s="65">
        <f t="shared" ref="F62:AC62" si="45">SUM(F$346,F$352,F$359,F$386)</f>
        <v>73.72</v>
      </c>
      <c r="G62" s="65">
        <f t="shared" si="45"/>
        <v>85.062999999999988</v>
      </c>
      <c r="H62" s="65">
        <f t="shared" si="45"/>
        <v>93.358999999999995</v>
      </c>
      <c r="I62" s="65">
        <f t="shared" si="45"/>
        <v>95.971000000000004</v>
      </c>
      <c r="J62" s="65">
        <f t="shared" si="45"/>
        <v>115.36199999999999</v>
      </c>
      <c r="K62" s="65">
        <f t="shared" si="45"/>
        <v>116.178</v>
      </c>
      <c r="L62" s="65">
        <f t="shared" si="45"/>
        <v>118.779</v>
      </c>
      <c r="M62" s="65">
        <f t="shared" si="45"/>
        <v>123.91800000000001</v>
      </c>
      <c r="N62" s="65">
        <f t="shared" si="45"/>
        <v>135.78700000000001</v>
      </c>
      <c r="O62" s="24">
        <f t="shared" si="45"/>
        <v>135.76199999999997</v>
      </c>
      <c r="P62" s="24">
        <f t="shared" si="45"/>
        <v>142.80200000000002</v>
      </c>
      <c r="Q62" s="24">
        <f t="shared" si="45"/>
        <v>142.27700000000002</v>
      </c>
      <c r="R62" s="24">
        <f t="shared" si="45"/>
        <v>145.584</v>
      </c>
      <c r="S62" s="24">
        <f t="shared" si="45"/>
        <v>154.72399999999999</v>
      </c>
      <c r="T62" s="26">
        <f t="shared" ca="1" si="45"/>
        <v>161.92583214056566</v>
      </c>
      <c r="U62" s="26">
        <f t="shared" ca="1" si="45"/>
        <v>169.14170191965076</v>
      </c>
      <c r="V62" s="26">
        <f t="shared" ca="1" si="45"/>
        <v>179.76568029123933</v>
      </c>
      <c r="W62" s="26">
        <f t="shared" ca="1" si="45"/>
        <v>190.67722309592804</v>
      </c>
      <c r="X62" s="26">
        <f t="shared" ca="1" si="45"/>
        <v>201.88595561381408</v>
      </c>
      <c r="Y62" s="26">
        <f t="shared" ca="1" si="45"/>
        <v>213.37607099080492</v>
      </c>
      <c r="Z62" s="26">
        <f t="shared" ca="1" si="45"/>
        <v>225.06388735250505</v>
      </c>
      <c r="AA62" s="26">
        <f t="shared" ca="1" si="45"/>
        <v>236.95558109821093</v>
      </c>
      <c r="AB62" s="26">
        <f t="shared" ca="1" si="45"/>
        <v>249.04159988087358</v>
      </c>
      <c r="AC62" s="26">
        <f t="shared" ca="1" si="45"/>
        <v>261.37971559644495</v>
      </c>
      <c r="AD62" s="26"/>
      <c r="AE62" s="26"/>
    </row>
    <row r="63" spans="1:31" x14ac:dyDescent="0.2">
      <c r="A63" s="3" t="s">
        <v>351</v>
      </c>
      <c r="F63" s="65">
        <f>F$407</f>
        <v>95.597999999999999</v>
      </c>
      <c r="G63" s="65">
        <f t="shared" ref="G63:AC63" si="46">G$407</f>
        <v>103.32899999999999</v>
      </c>
      <c r="H63" s="65">
        <f t="shared" si="46"/>
        <v>110.13499999999999</v>
      </c>
      <c r="I63" s="65">
        <f t="shared" si="46"/>
        <v>113.33</v>
      </c>
      <c r="J63" s="65">
        <f t="shared" si="46"/>
        <v>114.854</v>
      </c>
      <c r="K63" s="65">
        <f t="shared" si="46"/>
        <v>108.584</v>
      </c>
      <c r="L63" s="65">
        <f t="shared" si="46"/>
        <v>109.833</v>
      </c>
      <c r="M63" s="65">
        <f t="shared" si="46"/>
        <v>116.306</v>
      </c>
      <c r="N63" s="65">
        <f t="shared" si="46"/>
        <v>124.55800000000001</v>
      </c>
      <c r="O63" s="24">
        <f t="shared" si="46"/>
        <v>128.47200000000001</v>
      </c>
      <c r="P63" s="24">
        <f t="shared" si="46"/>
        <v>131.91499999999999</v>
      </c>
      <c r="Q63" s="24">
        <f t="shared" si="46"/>
        <v>134.08800000000002</v>
      </c>
      <c r="R63" s="24">
        <f t="shared" si="46"/>
        <v>135.79599999999999</v>
      </c>
      <c r="S63" s="24">
        <f t="shared" si="46"/>
        <v>136.54900000000001</v>
      </c>
      <c r="T63" s="26">
        <f t="shared" ca="1" si="46"/>
        <v>137.454815427894</v>
      </c>
      <c r="U63" s="26">
        <f t="shared" ca="1" si="46"/>
        <v>138.53381608244354</v>
      </c>
      <c r="V63" s="26">
        <f t="shared" ca="1" si="46"/>
        <v>139.91864651295847</v>
      </c>
      <c r="W63" s="26">
        <f t="shared" ca="1" si="46"/>
        <v>141.48061627823327</v>
      </c>
      <c r="X63" s="26">
        <f t="shared" ca="1" si="46"/>
        <v>143.22190020767383</v>
      </c>
      <c r="Y63" s="26">
        <f t="shared" ca="1" si="46"/>
        <v>145.14137521098016</v>
      </c>
      <c r="Z63" s="26">
        <f t="shared" ca="1" si="46"/>
        <v>147.23762748661343</v>
      </c>
      <c r="AA63" s="26">
        <f t="shared" ca="1" si="46"/>
        <v>149.51091082159303</v>
      </c>
      <c r="AB63" s="26">
        <f t="shared" ca="1" si="46"/>
        <v>151.96083902983108</v>
      </c>
      <c r="AC63" s="26">
        <f t="shared" ca="1" si="46"/>
        <v>154.59017747636091</v>
      </c>
      <c r="AD63" s="26"/>
      <c r="AE63" s="26"/>
    </row>
    <row r="64" spans="1:31" x14ac:dyDescent="0.2">
      <c r="A64" s="3" t="s">
        <v>352</v>
      </c>
      <c r="F64" s="65">
        <f t="shared" ref="F64:AC64" si="47">SUM(F$324,F$398,F$401,F$416,F$422)</f>
        <v>11.030999999999999</v>
      </c>
      <c r="G64" s="65">
        <f t="shared" si="47"/>
        <v>12.443</v>
      </c>
      <c r="H64" s="65">
        <f t="shared" si="47"/>
        <v>13.657</v>
      </c>
      <c r="I64" s="65">
        <f t="shared" si="47"/>
        <v>14.053999999999998</v>
      </c>
      <c r="J64" s="65">
        <f t="shared" si="47"/>
        <v>14.999000000000001</v>
      </c>
      <c r="K64" s="65">
        <f t="shared" si="47"/>
        <v>15.556000000000001</v>
      </c>
      <c r="L64" s="65">
        <f t="shared" si="47"/>
        <v>15.803999999999998</v>
      </c>
      <c r="M64" s="65">
        <f t="shared" si="47"/>
        <v>16.600000000000001</v>
      </c>
      <c r="N64" s="65">
        <f t="shared" si="47"/>
        <v>18.358000000000001</v>
      </c>
      <c r="O64" s="73">
        <f t="shared" si="47"/>
        <v>18.045999999999999</v>
      </c>
      <c r="P64" s="73">
        <f t="shared" si="47"/>
        <v>18.330000000000002</v>
      </c>
      <c r="Q64" s="73">
        <f t="shared" si="47"/>
        <v>18.66</v>
      </c>
      <c r="R64" s="73">
        <f t="shared" si="47"/>
        <v>18.945</v>
      </c>
      <c r="S64" s="73">
        <f t="shared" si="47"/>
        <v>19.144000000000002</v>
      </c>
      <c r="T64" s="26">
        <f t="shared" ca="1" si="47"/>
        <v>19.668161536752656</v>
      </c>
      <c r="U64" s="26">
        <f t="shared" ca="1" si="47"/>
        <v>20.20281971372696</v>
      </c>
      <c r="V64" s="26">
        <f t="shared" ca="1" si="47"/>
        <v>20.732207284030629</v>
      </c>
      <c r="W64" s="26">
        <f t="shared" ca="1" si="47"/>
        <v>21.27564044841392</v>
      </c>
      <c r="X64" s="26">
        <f t="shared" ca="1" si="47"/>
        <v>21.827421703411112</v>
      </c>
      <c r="Y64" s="26">
        <f t="shared" ca="1" si="47"/>
        <v>22.395910136600889</v>
      </c>
      <c r="Z64" s="26">
        <f t="shared" ca="1" si="47"/>
        <v>23.006491033100378</v>
      </c>
      <c r="AA64" s="26">
        <f t="shared" ca="1" si="47"/>
        <v>23.660552721041643</v>
      </c>
      <c r="AB64" s="26">
        <f t="shared" ca="1" si="47"/>
        <v>24.365066784680181</v>
      </c>
      <c r="AC64" s="26">
        <f t="shared" ca="1" si="47"/>
        <v>25.115502794876257</v>
      </c>
      <c r="AD64" s="26"/>
      <c r="AE64" s="26"/>
    </row>
    <row r="65" spans="1:31" x14ac:dyDescent="0.2">
      <c r="A65" s="32" t="s">
        <v>315</v>
      </c>
      <c r="F65" s="65">
        <f>F$323</f>
        <v>0</v>
      </c>
      <c r="G65" s="65">
        <f t="shared" ref="G65:AC65" si="48">G$323</f>
        <v>0</v>
      </c>
      <c r="H65" s="65">
        <f t="shared" si="48"/>
        <v>0</v>
      </c>
      <c r="I65" s="65">
        <f t="shared" si="48"/>
        <v>0</v>
      </c>
      <c r="J65" s="65">
        <f t="shared" si="48"/>
        <v>0</v>
      </c>
      <c r="K65" s="65">
        <f t="shared" si="48"/>
        <v>0</v>
      </c>
      <c r="L65" s="65">
        <f t="shared" si="48"/>
        <v>0</v>
      </c>
      <c r="M65" s="65">
        <f t="shared" si="48"/>
        <v>0</v>
      </c>
      <c r="N65" s="65">
        <f t="shared" si="48"/>
        <v>0</v>
      </c>
      <c r="O65" s="24">
        <f t="shared" si="48"/>
        <v>0.45100000000000001</v>
      </c>
      <c r="P65" s="24">
        <f t="shared" si="48"/>
        <v>1.2470000000000001</v>
      </c>
      <c r="Q65" s="24">
        <f t="shared" si="48"/>
        <v>1.913</v>
      </c>
      <c r="R65" s="24">
        <f t="shared" si="48"/>
        <v>2.6480000000000001</v>
      </c>
      <c r="S65" s="24">
        <f t="shared" si="48"/>
        <v>3.5609999999999999</v>
      </c>
      <c r="T65" s="26">
        <f t="shared" ca="1" si="48"/>
        <v>4.6254999999999997</v>
      </c>
      <c r="U65" s="26">
        <f t="shared" ca="1" si="48"/>
        <v>5.6703700000000001</v>
      </c>
      <c r="V65" s="26">
        <f t="shared" ca="1" si="48"/>
        <v>6.7005774000000002</v>
      </c>
      <c r="W65" s="26">
        <f t="shared" ca="1" si="48"/>
        <v>7.7041889480000005</v>
      </c>
      <c r="X65" s="26">
        <f t="shared" ca="1" si="48"/>
        <v>8.7278727269600012</v>
      </c>
      <c r="Y65" s="26">
        <f t="shared" ca="1" si="48"/>
        <v>9.7720301814992006</v>
      </c>
      <c r="Z65" s="26">
        <f t="shared" ca="1" si="48"/>
        <v>10.837070785129185</v>
      </c>
      <c r="AA65" s="26">
        <f t="shared" ca="1" si="48"/>
        <v>11.92341220083177</v>
      </c>
      <c r="AB65" s="26">
        <f t="shared" ca="1" si="48"/>
        <v>13.031480444848405</v>
      </c>
      <c r="AC65" s="26">
        <f t="shared" ca="1" si="48"/>
        <v>14.161710053745374</v>
      </c>
      <c r="AD65" s="26"/>
      <c r="AE65" s="26"/>
    </row>
    <row r="66" spans="1:31" x14ac:dyDescent="0.2">
      <c r="A66" s="31" t="s">
        <v>353</v>
      </c>
      <c r="F66" s="56">
        <f>SUM(F$62:F$65)</f>
        <v>180.34899999999999</v>
      </c>
      <c r="G66" s="56">
        <f t="shared" ref="G66:AC66" si="49">SUM(G$62:G$65)</f>
        <v>200.83500000000001</v>
      </c>
      <c r="H66" s="56">
        <f t="shared" si="49"/>
        <v>217.15099999999998</v>
      </c>
      <c r="I66" s="56">
        <f t="shared" si="49"/>
        <v>223.35499999999999</v>
      </c>
      <c r="J66" s="56">
        <f t="shared" si="49"/>
        <v>245.215</v>
      </c>
      <c r="K66" s="56">
        <f t="shared" si="49"/>
        <v>240.31800000000001</v>
      </c>
      <c r="L66" s="56">
        <f t="shared" si="49"/>
        <v>244.416</v>
      </c>
      <c r="M66" s="56">
        <f t="shared" si="49"/>
        <v>256.82400000000001</v>
      </c>
      <c r="N66" s="56">
        <f t="shared" si="49"/>
        <v>278.70300000000003</v>
      </c>
      <c r="O66" s="57">
        <f t="shared" si="49"/>
        <v>282.73099999999999</v>
      </c>
      <c r="P66" s="57">
        <f t="shared" si="49"/>
        <v>294.29399999999998</v>
      </c>
      <c r="Q66" s="57">
        <f t="shared" si="49"/>
        <v>296.93800000000005</v>
      </c>
      <c r="R66" s="57">
        <f t="shared" si="49"/>
        <v>302.97300000000001</v>
      </c>
      <c r="S66" s="57">
        <f t="shared" si="49"/>
        <v>313.97800000000001</v>
      </c>
      <c r="T66" s="58">
        <f t="shared" ca="1" si="49"/>
        <v>323.67430910521233</v>
      </c>
      <c r="U66" s="58">
        <f t="shared" ca="1" si="49"/>
        <v>333.54870771582125</v>
      </c>
      <c r="V66" s="58">
        <f t="shared" ca="1" si="49"/>
        <v>347.11711148822837</v>
      </c>
      <c r="W66" s="58">
        <f t="shared" ca="1" si="49"/>
        <v>361.13766877057526</v>
      </c>
      <c r="X66" s="58">
        <f t="shared" ca="1" si="49"/>
        <v>375.66315025185901</v>
      </c>
      <c r="Y66" s="58">
        <f t="shared" ca="1" si="49"/>
        <v>390.68538651988518</v>
      </c>
      <c r="Z66" s="58">
        <f t="shared" ca="1" si="49"/>
        <v>406.145076657348</v>
      </c>
      <c r="AA66" s="58">
        <f t="shared" ca="1" si="49"/>
        <v>422.05045684167737</v>
      </c>
      <c r="AB66" s="58">
        <f t="shared" ca="1" si="49"/>
        <v>438.39898614023321</v>
      </c>
      <c r="AC66" s="58">
        <f t="shared" ca="1" si="49"/>
        <v>455.24710592142748</v>
      </c>
      <c r="AD66" s="26"/>
      <c r="AE66" s="26"/>
    </row>
    <row r="67" spans="1:31" x14ac:dyDescent="0.2">
      <c r="A67" s="3" t="s">
        <v>319</v>
      </c>
      <c r="F67" s="65">
        <f>F$84</f>
        <v>41.897999999999996</v>
      </c>
      <c r="G67" s="65">
        <f t="shared" ref="G67:AC67" si="50">G$84</f>
        <v>46.11</v>
      </c>
      <c r="H67" s="65">
        <f t="shared" si="50"/>
        <v>61.953000000000003</v>
      </c>
      <c r="I67" s="65">
        <f t="shared" si="50"/>
        <v>69.733000000000004</v>
      </c>
      <c r="J67" s="65">
        <f t="shared" si="50"/>
        <v>90.245000000000005</v>
      </c>
      <c r="K67" s="65">
        <f t="shared" si="50"/>
        <v>100.53399999999999</v>
      </c>
      <c r="L67" s="65">
        <f t="shared" si="50"/>
        <v>100.08699999999999</v>
      </c>
      <c r="M67" s="65">
        <f t="shared" si="50"/>
        <v>103.419</v>
      </c>
      <c r="N67" s="65">
        <f t="shared" si="50"/>
        <v>112.58</v>
      </c>
      <c r="O67" s="73">
        <f t="shared" si="50"/>
        <v>116.976</v>
      </c>
      <c r="P67" s="73">
        <f t="shared" si="50"/>
        <v>126.87100000000001</v>
      </c>
      <c r="Q67" s="73">
        <f t="shared" si="50"/>
        <v>125.24199999999999</v>
      </c>
      <c r="R67" s="73">
        <f t="shared" si="50"/>
        <v>123.333</v>
      </c>
      <c r="S67" s="73">
        <f t="shared" si="50"/>
        <v>125.643</v>
      </c>
      <c r="T67" s="26">
        <f t="shared" ca="1" si="50"/>
        <v>123.55327612385946</v>
      </c>
      <c r="U67" s="26">
        <f t="shared" ca="1" si="50"/>
        <v>120.06142964593548</v>
      </c>
      <c r="V67" s="26">
        <f t="shared" ca="1" si="50"/>
        <v>118.48006839837846</v>
      </c>
      <c r="W67" s="26">
        <f t="shared" ca="1" si="50"/>
        <v>115.73620609155945</v>
      </c>
      <c r="X67" s="26">
        <f t="shared" ca="1" si="50"/>
        <v>111.88420086376252</v>
      </c>
      <c r="Y67" s="26">
        <f t="shared" ca="1" si="50"/>
        <v>106.88664950873974</v>
      </c>
      <c r="Z67" s="26">
        <f t="shared" ca="1" si="50"/>
        <v>100.4426847190816</v>
      </c>
      <c r="AA67" s="26">
        <f t="shared" ca="1" si="50"/>
        <v>92.316944643152027</v>
      </c>
      <c r="AB67" s="26">
        <f t="shared" ca="1" si="50"/>
        <v>82.357896220328598</v>
      </c>
      <c r="AC67" s="26">
        <f t="shared" ca="1" si="50"/>
        <v>70.386851754108179</v>
      </c>
      <c r="AD67" s="26"/>
      <c r="AE67" s="26"/>
    </row>
    <row r="68" spans="1:31" x14ac:dyDescent="0.2">
      <c r="A68" s="3" t="s">
        <v>354</v>
      </c>
      <c r="F68" s="65">
        <f>SUM(F$424,F$431,F$434,F$441,F$446,F$453)</f>
        <v>41.624000000000002</v>
      </c>
      <c r="G68" s="65">
        <f t="shared" ref="G68:AC68" si="51">SUM(G$424,G$431,G$434,G$441,G$446,G$453)</f>
        <v>49.210999999999999</v>
      </c>
      <c r="H68" s="65">
        <f t="shared" si="51"/>
        <v>55.683</v>
      </c>
      <c r="I68" s="65">
        <f t="shared" si="51"/>
        <v>58.634</v>
      </c>
      <c r="J68" s="65">
        <f t="shared" si="51"/>
        <v>74.082999999999998</v>
      </c>
      <c r="K68" s="65">
        <f t="shared" si="51"/>
        <v>80.004000000000005</v>
      </c>
      <c r="L68" s="65">
        <f t="shared" si="51"/>
        <v>74.318000000000012</v>
      </c>
      <c r="M68" s="65">
        <f t="shared" si="51"/>
        <v>72.708000000000013</v>
      </c>
      <c r="N68" s="65">
        <f t="shared" si="51"/>
        <v>73.887</v>
      </c>
      <c r="O68" s="24">
        <f t="shared" si="51"/>
        <v>73.01700000000001</v>
      </c>
      <c r="P68" s="24">
        <f t="shared" si="51"/>
        <v>71.858000000000004</v>
      </c>
      <c r="Q68" s="24">
        <f t="shared" si="51"/>
        <v>72.606999999999985</v>
      </c>
      <c r="R68" s="24">
        <f t="shared" si="51"/>
        <v>74.237999999999985</v>
      </c>
      <c r="S68" s="24">
        <f t="shared" si="51"/>
        <v>75.046999999999997</v>
      </c>
      <c r="T68" s="26">
        <f t="shared" ca="1" si="51"/>
        <v>78.099619719894733</v>
      </c>
      <c r="U68" s="26">
        <f t="shared" ca="1" si="51"/>
        <v>81.157953160004979</v>
      </c>
      <c r="V68" s="26">
        <f t="shared" ca="1" si="51"/>
        <v>84.388954287686857</v>
      </c>
      <c r="W68" s="26">
        <f t="shared" ca="1" si="51"/>
        <v>87.675868652841984</v>
      </c>
      <c r="X68" s="26">
        <f t="shared" ca="1" si="51"/>
        <v>91.037635782468286</v>
      </c>
      <c r="Y68" s="26">
        <f t="shared" ca="1" si="51"/>
        <v>94.381599643855196</v>
      </c>
      <c r="Z68" s="26">
        <f t="shared" ca="1" si="51"/>
        <v>97.845420555376222</v>
      </c>
      <c r="AA68" s="26">
        <f t="shared" ca="1" si="51"/>
        <v>101.40956777918458</v>
      </c>
      <c r="AB68" s="26">
        <f t="shared" ca="1" si="51"/>
        <v>105.06236245650906</v>
      </c>
      <c r="AC68" s="26">
        <f t="shared" ca="1" si="51"/>
        <v>108.83842621104185</v>
      </c>
      <c r="AD68" s="26"/>
      <c r="AE68" s="26"/>
    </row>
    <row r="69" spans="1:31" x14ac:dyDescent="0.2">
      <c r="A69" s="31" t="s">
        <v>355</v>
      </c>
      <c r="F69" s="56">
        <f>SUM(F$67:F$68)</f>
        <v>83.521999999999991</v>
      </c>
      <c r="G69" s="56">
        <f t="shared" ref="G69:AC69" si="52">SUM(G$67:G$68)</f>
        <v>95.320999999999998</v>
      </c>
      <c r="H69" s="56">
        <f t="shared" si="52"/>
        <v>117.636</v>
      </c>
      <c r="I69" s="56">
        <f t="shared" si="52"/>
        <v>128.36700000000002</v>
      </c>
      <c r="J69" s="56">
        <f t="shared" si="52"/>
        <v>164.328</v>
      </c>
      <c r="K69" s="56">
        <f t="shared" si="52"/>
        <v>180.53800000000001</v>
      </c>
      <c r="L69" s="56">
        <f t="shared" si="52"/>
        <v>174.405</v>
      </c>
      <c r="M69" s="56">
        <f t="shared" si="52"/>
        <v>176.12700000000001</v>
      </c>
      <c r="N69" s="56">
        <f t="shared" si="52"/>
        <v>186.46699999999998</v>
      </c>
      <c r="O69" s="57">
        <f t="shared" si="52"/>
        <v>189.99299999999999</v>
      </c>
      <c r="P69" s="57">
        <f t="shared" si="52"/>
        <v>198.72900000000001</v>
      </c>
      <c r="Q69" s="57">
        <f t="shared" si="52"/>
        <v>197.84899999999999</v>
      </c>
      <c r="R69" s="57">
        <f t="shared" si="52"/>
        <v>197.57099999999997</v>
      </c>
      <c r="S69" s="57">
        <f t="shared" si="52"/>
        <v>200.69</v>
      </c>
      <c r="T69" s="58">
        <f t="shared" ca="1" si="52"/>
        <v>201.65289584375421</v>
      </c>
      <c r="U69" s="58">
        <f t="shared" ca="1" si="52"/>
        <v>201.21938280594046</v>
      </c>
      <c r="V69" s="58">
        <f t="shared" ca="1" si="52"/>
        <v>202.86902268606531</v>
      </c>
      <c r="W69" s="58">
        <f t="shared" ca="1" si="52"/>
        <v>203.41207474440142</v>
      </c>
      <c r="X69" s="58">
        <f t="shared" ca="1" si="52"/>
        <v>202.92183664623082</v>
      </c>
      <c r="Y69" s="58">
        <f t="shared" ca="1" si="52"/>
        <v>201.26824915259493</v>
      </c>
      <c r="Z69" s="58">
        <f t="shared" ca="1" si="52"/>
        <v>198.28810527445782</v>
      </c>
      <c r="AA69" s="58">
        <f t="shared" ca="1" si="52"/>
        <v>193.72651242233661</v>
      </c>
      <c r="AB69" s="58">
        <f t="shared" ca="1" si="52"/>
        <v>187.42025867683765</v>
      </c>
      <c r="AC69" s="58">
        <f t="shared" ca="1" si="52"/>
        <v>179.22527796515004</v>
      </c>
      <c r="AD69" s="26"/>
      <c r="AE69" s="26"/>
    </row>
    <row r="70" spans="1:31" x14ac:dyDescent="0.2">
      <c r="A70" s="31" t="s">
        <v>356</v>
      </c>
      <c r="F70" s="23">
        <f>F$66-F$69</f>
        <v>96.826999999999998</v>
      </c>
      <c r="G70" s="23">
        <f t="shared" ref="G70:AC70" si="53">G$66-G$69</f>
        <v>105.51400000000001</v>
      </c>
      <c r="H70" s="23">
        <f t="shared" si="53"/>
        <v>99.514999999999986</v>
      </c>
      <c r="I70" s="23">
        <f t="shared" si="53"/>
        <v>94.987999999999971</v>
      </c>
      <c r="J70" s="23">
        <f t="shared" si="53"/>
        <v>80.887</v>
      </c>
      <c r="K70" s="23">
        <f t="shared" si="53"/>
        <v>59.78</v>
      </c>
      <c r="L70" s="23">
        <f t="shared" si="53"/>
        <v>70.010999999999996</v>
      </c>
      <c r="M70" s="23">
        <f t="shared" si="53"/>
        <v>80.697000000000003</v>
      </c>
      <c r="N70" s="23">
        <f t="shared" si="53"/>
        <v>92.236000000000047</v>
      </c>
      <c r="O70" s="25">
        <f t="shared" si="53"/>
        <v>92.738</v>
      </c>
      <c r="P70" s="25">
        <f t="shared" si="53"/>
        <v>95.564999999999969</v>
      </c>
      <c r="Q70" s="25">
        <f t="shared" si="53"/>
        <v>99.089000000000055</v>
      </c>
      <c r="R70" s="25">
        <f t="shared" si="53"/>
        <v>105.40200000000004</v>
      </c>
      <c r="S70" s="25">
        <f t="shared" si="53"/>
        <v>113.28800000000001</v>
      </c>
      <c r="T70" s="11">
        <f t="shared" ca="1" si="53"/>
        <v>122.02141326145812</v>
      </c>
      <c r="U70" s="11">
        <f t="shared" ca="1" si="53"/>
        <v>132.3293249098808</v>
      </c>
      <c r="V70" s="11">
        <f t="shared" ca="1" si="53"/>
        <v>144.24808880216307</v>
      </c>
      <c r="W70" s="11">
        <f t="shared" ca="1" si="53"/>
        <v>157.72559402617384</v>
      </c>
      <c r="X70" s="11">
        <f t="shared" ca="1" si="53"/>
        <v>172.74131360562819</v>
      </c>
      <c r="Y70" s="11">
        <f t="shared" ca="1" si="53"/>
        <v>189.41713736729025</v>
      </c>
      <c r="Z70" s="11">
        <f t="shared" ca="1" si="53"/>
        <v>207.85697138289018</v>
      </c>
      <c r="AA70" s="11">
        <f t="shared" ca="1" si="53"/>
        <v>228.32394441934076</v>
      </c>
      <c r="AB70" s="11">
        <f t="shared" ca="1" si="53"/>
        <v>250.97872746339556</v>
      </c>
      <c r="AC70" s="11">
        <f t="shared" ca="1" si="53"/>
        <v>276.02182795627743</v>
      </c>
      <c r="AD70" s="26"/>
      <c r="AE70" s="26"/>
    </row>
    <row r="71" spans="1:31" x14ac:dyDescent="0.2">
      <c r="A71" s="3" t="s">
        <v>646</v>
      </c>
      <c r="B71" s="4" t="str">
        <f>$B$46</f>
        <v>From Fiscal Forecasts</v>
      </c>
      <c r="F71" s="65">
        <f>'Fiscal Forecasts'!F$136</f>
        <v>0.29599999999999999</v>
      </c>
      <c r="G71" s="65">
        <f>'Fiscal Forecasts'!G$136</f>
        <v>0.38200000000000001</v>
      </c>
      <c r="H71" s="65">
        <f>'Fiscal Forecasts'!H$136</f>
        <v>0.44700000000000001</v>
      </c>
      <c r="I71" s="65">
        <f>'Fiscal Forecasts'!I$136</f>
        <v>0.40200000000000002</v>
      </c>
      <c r="J71" s="65">
        <f>'Fiscal Forecasts'!J$136</f>
        <v>0.308</v>
      </c>
      <c r="K71" s="65">
        <f>'Fiscal Forecasts'!K$136</f>
        <v>0.432</v>
      </c>
      <c r="L71" s="65">
        <f>'Fiscal Forecasts'!L$136</f>
        <v>1.94</v>
      </c>
      <c r="M71" s="65">
        <f>'Fiscal Forecasts'!M$136</f>
        <v>5.2110000000000003</v>
      </c>
      <c r="N71" s="65">
        <f>'Fiscal Forecasts'!N$136</f>
        <v>5.782</v>
      </c>
      <c r="O71" s="24">
        <f>'Fiscal Forecasts'!O$136</f>
        <v>5.8760000000000003</v>
      </c>
      <c r="P71" s="24">
        <f>'Fiscal Forecasts'!P$136</f>
        <v>5.931</v>
      </c>
      <c r="Q71" s="24">
        <f>'Fiscal Forecasts'!Q$136</f>
        <v>6</v>
      </c>
      <c r="R71" s="24">
        <f>'Fiscal Forecasts'!R$136</f>
        <v>6.077</v>
      </c>
      <c r="S71" s="24">
        <f>'Fiscal Forecasts'!S$136</f>
        <v>6.1150000000000002</v>
      </c>
      <c r="T71" s="26">
        <f t="shared" ref="T71:AC71" ca="1" si="54">S$71*T$406/S$406</f>
        <v>6.2764351669206118</v>
      </c>
      <c r="U71" s="26">
        <f t="shared" ca="1" si="54"/>
        <v>6.3363418059610179</v>
      </c>
      <c r="V71" s="26">
        <f t="shared" ca="1" si="54"/>
        <v>6.4067162346924009</v>
      </c>
      <c r="W71" s="26">
        <f t="shared" ca="1" si="54"/>
        <v>6.4876548610207125</v>
      </c>
      <c r="X71" s="26">
        <f t="shared" ca="1" si="54"/>
        <v>6.5793208997171231</v>
      </c>
      <c r="Y71" s="26">
        <f t="shared" ca="1" si="54"/>
        <v>6.68177335028569</v>
      </c>
      <c r="Z71" s="26">
        <f t="shared" ca="1" si="54"/>
        <v>6.7950407041209724</v>
      </c>
      <c r="AA71" s="26">
        <f t="shared" ca="1" si="54"/>
        <v>6.9191605843877309</v>
      </c>
      <c r="AB71" s="26">
        <f t="shared" ca="1" si="54"/>
        <v>7.0541121720011359</v>
      </c>
      <c r="AC71" s="26">
        <f t="shared" ca="1" si="54"/>
        <v>7.1999544114710368</v>
      </c>
      <c r="AD71" s="26"/>
      <c r="AE71" s="26"/>
    </row>
    <row r="72" spans="1:31" x14ac:dyDescent="0.2">
      <c r="A72" s="3" t="s">
        <v>647</v>
      </c>
      <c r="F72" s="65">
        <f>F$70-F$71</f>
        <v>96.530999999999992</v>
      </c>
      <c r="G72" s="65">
        <f t="shared" ref="G72:AC72" si="55">G$70-G$71</f>
        <v>105.13200000000001</v>
      </c>
      <c r="H72" s="65">
        <f t="shared" si="55"/>
        <v>99.067999999999984</v>
      </c>
      <c r="I72" s="65">
        <f t="shared" si="55"/>
        <v>94.58599999999997</v>
      </c>
      <c r="J72" s="65">
        <f t="shared" si="55"/>
        <v>80.578999999999994</v>
      </c>
      <c r="K72" s="65">
        <f t="shared" si="55"/>
        <v>59.347999999999999</v>
      </c>
      <c r="L72" s="65">
        <f t="shared" si="55"/>
        <v>68.070999999999998</v>
      </c>
      <c r="M72" s="65">
        <f t="shared" si="55"/>
        <v>75.486000000000004</v>
      </c>
      <c r="N72" s="65">
        <f t="shared" si="55"/>
        <v>86.45400000000005</v>
      </c>
      <c r="O72" s="24">
        <f t="shared" si="55"/>
        <v>86.861999999999995</v>
      </c>
      <c r="P72" s="24">
        <f t="shared" si="55"/>
        <v>89.633999999999972</v>
      </c>
      <c r="Q72" s="24">
        <f t="shared" si="55"/>
        <v>93.089000000000055</v>
      </c>
      <c r="R72" s="24">
        <f t="shared" si="55"/>
        <v>99.325000000000045</v>
      </c>
      <c r="S72" s="24">
        <f t="shared" si="55"/>
        <v>107.17300000000002</v>
      </c>
      <c r="T72" s="26">
        <f t="shared" ca="1" si="55"/>
        <v>115.74497809453752</v>
      </c>
      <c r="U72" s="26">
        <f t="shared" ca="1" si="55"/>
        <v>125.99298310391978</v>
      </c>
      <c r="V72" s="26">
        <f t="shared" ca="1" si="55"/>
        <v>137.84137256747067</v>
      </c>
      <c r="W72" s="26">
        <f t="shared" ca="1" si="55"/>
        <v>151.23793916515314</v>
      </c>
      <c r="X72" s="26">
        <f t="shared" ca="1" si="55"/>
        <v>166.16199270591108</v>
      </c>
      <c r="Y72" s="26">
        <f t="shared" ca="1" si="55"/>
        <v>182.73536401700457</v>
      </c>
      <c r="Z72" s="26">
        <f t="shared" ca="1" si="55"/>
        <v>201.06193067876922</v>
      </c>
      <c r="AA72" s="26">
        <f t="shared" ca="1" si="55"/>
        <v>221.40478383495304</v>
      </c>
      <c r="AB72" s="26">
        <f t="shared" ca="1" si="55"/>
        <v>243.92461529139442</v>
      </c>
      <c r="AC72" s="26">
        <f t="shared" ca="1" si="55"/>
        <v>268.82187354480641</v>
      </c>
      <c r="AD72" s="26"/>
      <c r="AE72" s="26"/>
    </row>
    <row r="73" spans="1:31" x14ac:dyDescent="0.2">
      <c r="A73" s="2" t="s">
        <v>775</v>
      </c>
      <c r="B73" s="4" t="s">
        <v>773</v>
      </c>
      <c r="T73" s="7" t="str">
        <f t="shared" ref="T73:AC73" ca="1" si="56">IF(ROUND(T$52-(T$70-S$70),3)=0,"OK","ERROR")</f>
        <v>OK</v>
      </c>
      <c r="U73" s="7" t="str">
        <f t="shared" ca="1" si="56"/>
        <v>OK</v>
      </c>
      <c r="V73" s="7" t="str">
        <f t="shared" ca="1" si="56"/>
        <v>OK</v>
      </c>
      <c r="W73" s="7" t="str">
        <f t="shared" ca="1" si="56"/>
        <v>OK</v>
      </c>
      <c r="X73" s="7" t="str">
        <f t="shared" ca="1" si="56"/>
        <v>OK</v>
      </c>
      <c r="Y73" s="7" t="str">
        <f t="shared" ca="1" si="56"/>
        <v>OK</v>
      </c>
      <c r="Z73" s="7" t="str">
        <f t="shared" ca="1" si="56"/>
        <v>OK</v>
      </c>
      <c r="AA73" s="7" t="str">
        <f t="shared" ca="1" si="56"/>
        <v>OK</v>
      </c>
      <c r="AB73" s="7" t="str">
        <f t="shared" ca="1" si="56"/>
        <v>OK</v>
      </c>
      <c r="AC73" s="7" t="str">
        <f t="shared" ca="1" si="56"/>
        <v>OK</v>
      </c>
      <c r="AD73" s="26"/>
      <c r="AE73" s="26"/>
    </row>
    <row r="74" spans="1:31" x14ac:dyDescent="0.2">
      <c r="A74" s="5" t="s">
        <v>881</v>
      </c>
      <c r="B74" s="4" t="s">
        <v>884</v>
      </c>
      <c r="F74" s="7" t="str">
        <f>IF(ROUND('Fiscal Forecasts'!F$134-F$70,3)=0,"OK","ERROR")</f>
        <v>OK</v>
      </c>
      <c r="G74" s="7" t="str">
        <f>IF(ROUND('Fiscal Forecasts'!G$134-G$70,3)=0,"OK","ERROR")</f>
        <v>OK</v>
      </c>
      <c r="H74" s="7" t="str">
        <f>IF(ROUND('Fiscal Forecasts'!H$134-H$70,3)=0,"OK","ERROR")</f>
        <v>OK</v>
      </c>
      <c r="I74" s="7" t="str">
        <f>IF(ROUND('Fiscal Forecasts'!I$134-I$70,3)=0,"OK","ERROR")</f>
        <v>OK</v>
      </c>
      <c r="J74" s="7" t="str">
        <f>IF(ROUND('Fiscal Forecasts'!J$134-J$70,3)=0,"OK","ERROR")</f>
        <v>OK</v>
      </c>
      <c r="K74" s="7" t="str">
        <f>IF(ROUND('Fiscal Forecasts'!K$134-K$70,3)=0,"OK","ERROR")</f>
        <v>OK</v>
      </c>
      <c r="L74" s="7" t="str">
        <f>IF(ROUND('Fiscal Forecasts'!L$134-L$70,3)=0,"OK","ERROR")</f>
        <v>OK</v>
      </c>
      <c r="M74" s="7" t="str">
        <f>IF(ROUND('Fiscal Forecasts'!M$134-M$70,3)=0,"OK","ERROR")</f>
        <v>OK</v>
      </c>
      <c r="N74" s="7" t="str">
        <f>IF(ROUND('Fiscal Forecasts'!N$134-N$70 -IF($D$2="Yes",'Fiscal Forecast Adjuster'!E$38,0)/1000 -IF($D$3="Yes",'NZS Fund Adjuster'!N$12,0),3)=0,"OK","ERROR")</f>
        <v>OK</v>
      </c>
      <c r="O74" s="7" t="str">
        <f>IF(ROUND('Fiscal Forecasts'!O$134-O$70 -IF($D$2="Yes",'Fiscal Forecast Adjuster'!F$38,0)/1000 -IF($D$3="Yes",'NZS Fund Adjuster'!O$12,0),3)=0,"OK","ERROR")</f>
        <v>OK</v>
      </c>
      <c r="P74" s="7" t="str">
        <f>IF(ROUND('Fiscal Forecasts'!P$134-P$70 -IF($D$2="Yes",'Fiscal Forecast Adjuster'!G$38,0)/1000 -IF($D$3="Yes",'NZS Fund Adjuster'!P$12,0),3)=0,"OK","ERROR")</f>
        <v>OK</v>
      </c>
      <c r="Q74" s="7" t="str">
        <f>IF(ROUND('Fiscal Forecasts'!Q$134-Q$70 -IF($D$2="Yes",'Fiscal Forecast Adjuster'!H$38,0)/1000 -IF($D$3="Yes",'NZS Fund Adjuster'!Q$12,0),3)=0,"OK","ERROR")</f>
        <v>OK</v>
      </c>
      <c r="R74" s="7" t="str">
        <f>IF(ROUND('Fiscal Forecasts'!R$134-R$70 -IF($D$2="Yes",'Fiscal Forecast Adjuster'!I$38,0)/1000 -IF($D$3="Yes",'NZS Fund Adjuster'!R$12,0),3)=0,"OK","ERROR")</f>
        <v>OK</v>
      </c>
      <c r="S74" s="7" t="str">
        <f>IF(ROUND('Fiscal Forecasts'!S$134-S$70 -IF($D$2="Yes",'Fiscal Forecast Adjuster'!J$38,0)/1000 -IF($D$3="Yes",'NZS Fund Adjuster'!S$12,0),3)=0,"OK","ERROR")</f>
        <v>OK</v>
      </c>
      <c r="T74" s="7"/>
      <c r="U74" s="7"/>
      <c r="V74" s="7"/>
      <c r="W74" s="7"/>
      <c r="X74" s="7"/>
      <c r="Y74" s="7"/>
      <c r="Z74" s="7"/>
      <c r="AA74" s="7"/>
      <c r="AB74" s="7"/>
      <c r="AC74" s="7"/>
      <c r="AD74" s="26"/>
      <c r="AE74" s="26"/>
    </row>
    <row r="75" spans="1:31" x14ac:dyDescent="0.2">
      <c r="A75" s="2" t="s">
        <v>802</v>
      </c>
      <c r="B75" s="4"/>
      <c r="F75" s="23">
        <f t="shared" ref="F75:AC75" si="57">SUM(F$323,F$324,F$345,F$351,F$355,F$383,F$397,F$400,F$404,F$415,F$419)</f>
        <v>105.21600000000001</v>
      </c>
      <c r="G75" s="23">
        <f t="shared" si="57"/>
        <v>116.18199999999999</v>
      </c>
      <c r="H75" s="23">
        <f t="shared" si="57"/>
        <v>126.20099999999999</v>
      </c>
      <c r="I75" s="23">
        <f t="shared" si="57"/>
        <v>127.21499999999999</v>
      </c>
      <c r="J75" s="23">
        <f t="shared" si="57"/>
        <v>138.965</v>
      </c>
      <c r="K75" s="23">
        <f t="shared" si="57"/>
        <v>138.40899999999999</v>
      </c>
      <c r="L75" s="23">
        <f t="shared" si="57"/>
        <v>139.875</v>
      </c>
      <c r="M75" s="23">
        <f t="shared" si="57"/>
        <v>147.066</v>
      </c>
      <c r="N75" s="23">
        <f t="shared" si="57"/>
        <v>158.71300000000002</v>
      </c>
      <c r="O75" s="25">
        <f t="shared" si="57"/>
        <v>161.321</v>
      </c>
      <c r="P75" s="25">
        <f t="shared" si="57"/>
        <v>170.512</v>
      </c>
      <c r="Q75" s="25">
        <f t="shared" si="57"/>
        <v>170.51299999999998</v>
      </c>
      <c r="R75" s="25">
        <f t="shared" si="57"/>
        <v>173.548</v>
      </c>
      <c r="S75" s="25">
        <f t="shared" si="57"/>
        <v>182.16799999999998</v>
      </c>
      <c r="T75" s="11">
        <f t="shared" ca="1" si="57"/>
        <v>189.80167080197052</v>
      </c>
      <c r="U75" s="11">
        <f t="shared" ca="1" si="57"/>
        <v>197.50797512209743</v>
      </c>
      <c r="V75" s="11">
        <f t="shared" ca="1" si="57"/>
        <v>208.70781894899488</v>
      </c>
      <c r="W75" s="11">
        <f t="shared" ca="1" si="57"/>
        <v>220.15269908986502</v>
      </c>
      <c r="X75" s="11">
        <f t="shared" ca="1" si="57"/>
        <v>231.86951639443313</v>
      </c>
      <c r="Y75" s="11">
        <f t="shared" ca="1" si="57"/>
        <v>243.80907543272676</v>
      </c>
      <c r="Z75" s="11">
        <f t="shared" ca="1" si="57"/>
        <v>255.97775073013193</v>
      </c>
      <c r="AA75" s="11">
        <f t="shared" ca="1" si="57"/>
        <v>268.37030262919188</v>
      </c>
      <c r="AB75" s="11">
        <f t="shared" ca="1" si="57"/>
        <v>280.97620972133598</v>
      </c>
      <c r="AC75" s="11">
        <f t="shared" ca="1" si="57"/>
        <v>293.85545222997519</v>
      </c>
      <c r="AD75" s="26"/>
      <c r="AE75" s="26"/>
    </row>
    <row r="76" spans="1:31" x14ac:dyDescent="0.2">
      <c r="A76" s="2" t="s">
        <v>697</v>
      </c>
      <c r="B76" s="4" t="str">
        <f>$B$46</f>
        <v>From Fiscal Forecasts</v>
      </c>
      <c r="F76" s="23">
        <f>'Fiscal Forecasts'!F$193</f>
        <v>35.884999999999998</v>
      </c>
      <c r="G76" s="23">
        <f>'Fiscal Forecasts'!G$193</f>
        <v>37.167000000000002</v>
      </c>
      <c r="H76" s="23">
        <f>'Fiscal Forecasts'!H$193</f>
        <v>49.889000000000003</v>
      </c>
      <c r="I76" s="23">
        <f>'Fiscal Forecasts'!I$193</f>
        <v>57.582999999999998</v>
      </c>
      <c r="J76" s="23">
        <f>'Fiscal Forecasts'!J$193</f>
        <v>76.826999999999998</v>
      </c>
      <c r="K76" s="23">
        <f>'Fiscal Forecasts'!K$193</f>
        <v>84.51</v>
      </c>
      <c r="L76" s="23">
        <f>'Fiscal Forecasts'!L$193</f>
        <v>84.87</v>
      </c>
      <c r="M76" s="23">
        <f>'Fiscal Forecasts'!M$193</f>
        <v>89.09</v>
      </c>
      <c r="N76" s="23">
        <f>'Fiscal Forecasts'!N$193 +IF($D$2="Yes",'Fiscal Forecast Adjuster'!E$38,0)/1000 +IF($D$3="Yes",'NZS Fund Adjuster'!N$12,0)</f>
        <v>95.549000000000007</v>
      </c>
      <c r="O76" s="25">
        <f>'Fiscal Forecasts'!O$193 +IF($D$2="Yes",'Fiscal Forecast Adjuster'!F$38,0)/1000 +IF($D$3="Yes",'NZS Fund Adjuster'!O$12,0)</f>
        <v>98.090999999999994</v>
      </c>
      <c r="P76" s="25">
        <f>'Fiscal Forecasts'!P$193 +IF($D$2="Yes",'Fiscal Forecast Adjuster'!G$38,0)/1000 +IF($D$3="Yes",'NZS Fund Adjuster'!P$12,0)</f>
        <v>106.693</v>
      </c>
      <c r="Q76" s="25">
        <f>'Fiscal Forecasts'!Q$193 +IF($D$2="Yes",'Fiscal Forecast Adjuster'!H$38,0)/1000 +IF($D$3="Yes",'NZS Fund Adjuster'!Q$12,0)</f>
        <v>103.944</v>
      </c>
      <c r="R76" s="25">
        <f>'Fiscal Forecasts'!R$193 +IF($D$2="Yes",'Fiscal Forecast Adjuster'!I$38,0)/1000 +IF($D$3="Yes",'NZS Fund Adjuster'!R$12,0)</f>
        <v>100.923</v>
      </c>
      <c r="S76" s="25">
        <f>'Fiscal Forecasts'!S$193 +IF($D$2="Yes",'Fiscal Forecast Adjuster'!J$38,0)/1000 +IF($D$3="Yes",'NZS Fund Adjuster'!S$12,0)</f>
        <v>102.364</v>
      </c>
      <c r="T76" s="11">
        <f t="shared" ref="T76:AC76" ca="1" si="58">T$85</f>
        <v>100.77354353051919</v>
      </c>
      <c r="U76" s="11">
        <f t="shared" ca="1" si="58"/>
        <v>97.810652678160707</v>
      </c>
      <c r="V76" s="11">
        <f t="shared" ca="1" si="58"/>
        <v>96.737683868328332</v>
      </c>
      <c r="W76" s="11">
        <f t="shared" ca="1" si="58"/>
        <v>94.396340950408643</v>
      </c>
      <c r="X76" s="11">
        <f t="shared" ca="1" si="58"/>
        <v>90.876748380909831</v>
      </c>
      <c r="Y76" s="11">
        <f t="shared" ca="1" si="58"/>
        <v>85.998870362401263</v>
      </c>
      <c r="Z76" s="11">
        <f t="shared" ca="1" si="58"/>
        <v>79.650435488250423</v>
      </c>
      <c r="AA76" s="11">
        <f t="shared" ca="1" si="58"/>
        <v>71.566690319106698</v>
      </c>
      <c r="AB76" s="11">
        <f t="shared" ca="1" si="58"/>
        <v>61.602806202880977</v>
      </c>
      <c r="AC76" s="11">
        <f t="shared" ca="1" si="58"/>
        <v>49.602880875253383</v>
      </c>
      <c r="AD76" s="26"/>
      <c r="AE76" s="26"/>
    </row>
    <row r="77" spans="1:31" x14ac:dyDescent="0.2">
      <c r="A77" s="2" t="s">
        <v>883</v>
      </c>
      <c r="B77" s="4"/>
      <c r="F77" s="23">
        <f>SUM(F$424,F$430,F$433,F$437,F$444,F$452)</f>
        <v>18.537999999999997</v>
      </c>
      <c r="G77" s="23">
        <f t="shared" ref="G77:AC77" si="59">SUM(G$424,G$430,G$433,G$437,G$444,G$452)</f>
        <v>22.031999999999996</v>
      </c>
      <c r="H77" s="23">
        <f t="shared" si="59"/>
        <v>23.242000000000001</v>
      </c>
      <c r="I77" s="23">
        <f t="shared" si="59"/>
        <v>24.963000000000001</v>
      </c>
      <c r="J77" s="23">
        <f t="shared" si="59"/>
        <v>27.206999999999997</v>
      </c>
      <c r="K77" s="23">
        <f t="shared" si="59"/>
        <v>30.528000000000002</v>
      </c>
      <c r="L77" s="23">
        <f t="shared" si="59"/>
        <v>29.391999999999999</v>
      </c>
      <c r="M77" s="23">
        <f t="shared" si="59"/>
        <v>29.299999999999997</v>
      </c>
      <c r="N77" s="23">
        <f t="shared" si="59"/>
        <v>29.762</v>
      </c>
      <c r="O77" s="25">
        <f t="shared" si="59"/>
        <v>29.946999999999999</v>
      </c>
      <c r="P77" s="25">
        <f t="shared" si="59"/>
        <v>28.216000000000001</v>
      </c>
      <c r="Q77" s="25">
        <f t="shared" si="59"/>
        <v>27.956</v>
      </c>
      <c r="R77" s="25">
        <f t="shared" si="59"/>
        <v>28.340999999999998</v>
      </c>
      <c r="S77" s="25">
        <f t="shared" si="59"/>
        <v>28.239000000000001</v>
      </c>
      <c r="T77" s="11">
        <f t="shared" ca="1" si="59"/>
        <v>29.057366490458996</v>
      </c>
      <c r="U77" s="11">
        <f t="shared" ca="1" si="59"/>
        <v>29.862760549575654</v>
      </c>
      <c r="V77" s="11">
        <f t="shared" ca="1" si="59"/>
        <v>30.771492889551819</v>
      </c>
      <c r="W77" s="11">
        <f t="shared" ca="1" si="59"/>
        <v>31.691505349250917</v>
      </c>
      <c r="X77" s="11">
        <f t="shared" ca="1" si="59"/>
        <v>32.613265193855533</v>
      </c>
      <c r="Y77" s="11">
        <f t="shared" ca="1" si="59"/>
        <v>33.54195797473362</v>
      </c>
      <c r="Z77" s="11">
        <f t="shared" ca="1" si="59"/>
        <v>34.509440440090231</v>
      </c>
      <c r="AA77" s="11">
        <f t="shared" ca="1" si="59"/>
        <v>35.513218959490203</v>
      </c>
      <c r="AB77" s="11">
        <f t="shared" ca="1" si="59"/>
        <v>36.538688783942597</v>
      </c>
      <c r="AC77" s="11">
        <f t="shared" ca="1" si="59"/>
        <v>37.594580436269652</v>
      </c>
      <c r="AD77" s="26"/>
      <c r="AE77" s="26"/>
    </row>
    <row r="78" spans="1:31" x14ac:dyDescent="0.2">
      <c r="A78" s="2" t="s">
        <v>908</v>
      </c>
      <c r="B78" s="4"/>
      <c r="F78" s="23">
        <f>F$75-SUM(F$76,F$77)</f>
        <v>50.793000000000013</v>
      </c>
      <c r="G78" s="23">
        <f t="shared" ref="G78:AC78" si="60">G$75-SUM(G$76,G$77)</f>
        <v>56.98299999999999</v>
      </c>
      <c r="H78" s="23">
        <f t="shared" si="60"/>
        <v>53.069999999999993</v>
      </c>
      <c r="I78" s="23">
        <f t="shared" si="60"/>
        <v>44.668999999999997</v>
      </c>
      <c r="J78" s="23">
        <f t="shared" si="60"/>
        <v>34.931000000000012</v>
      </c>
      <c r="K78" s="23">
        <f t="shared" si="60"/>
        <v>23.370999999999981</v>
      </c>
      <c r="L78" s="23">
        <f t="shared" si="60"/>
        <v>25.613</v>
      </c>
      <c r="M78" s="23">
        <f t="shared" si="60"/>
        <v>28.676000000000002</v>
      </c>
      <c r="N78" s="23">
        <f t="shared" si="60"/>
        <v>33.402000000000015</v>
      </c>
      <c r="O78" s="25">
        <f t="shared" si="60"/>
        <v>33.283000000000015</v>
      </c>
      <c r="P78" s="25">
        <f t="shared" si="60"/>
        <v>35.603000000000009</v>
      </c>
      <c r="Q78" s="25">
        <f t="shared" si="60"/>
        <v>38.612999999999971</v>
      </c>
      <c r="R78" s="25">
        <f t="shared" si="60"/>
        <v>44.283999999999992</v>
      </c>
      <c r="S78" s="25">
        <f t="shared" si="60"/>
        <v>51.564999999999969</v>
      </c>
      <c r="T78" s="11">
        <f t="shared" ca="1" si="60"/>
        <v>59.970760780992322</v>
      </c>
      <c r="U78" s="11">
        <f t="shared" ca="1" si="60"/>
        <v>69.834561894361073</v>
      </c>
      <c r="V78" s="11">
        <f t="shared" ca="1" si="60"/>
        <v>81.198642191114729</v>
      </c>
      <c r="W78" s="11">
        <f t="shared" ca="1" si="60"/>
        <v>94.064852790205464</v>
      </c>
      <c r="X78" s="11">
        <f t="shared" ca="1" si="60"/>
        <v>108.37950281966778</v>
      </c>
      <c r="Y78" s="11">
        <f t="shared" ca="1" si="60"/>
        <v>124.26824709559187</v>
      </c>
      <c r="Z78" s="11">
        <f t="shared" ca="1" si="60"/>
        <v>141.81787480179128</v>
      </c>
      <c r="AA78" s="11">
        <f t="shared" ca="1" si="60"/>
        <v>161.29039335059497</v>
      </c>
      <c r="AB78" s="11">
        <f t="shared" ca="1" si="60"/>
        <v>182.8347147345124</v>
      </c>
      <c r="AC78" s="11">
        <f t="shared" ca="1" si="60"/>
        <v>206.65799091845216</v>
      </c>
      <c r="AD78" s="26"/>
      <c r="AE78" s="26"/>
    </row>
    <row r="79" spans="1:31" x14ac:dyDescent="0.2">
      <c r="A79" s="2" t="s">
        <v>803</v>
      </c>
      <c r="B79" s="4" t="str">
        <f>$B$73</f>
        <v>Projected Years only</v>
      </c>
      <c r="F79" s="13"/>
      <c r="G79" s="13"/>
      <c r="H79" s="13"/>
      <c r="I79" s="13"/>
      <c r="J79" s="13"/>
      <c r="K79" s="13"/>
      <c r="L79" s="13"/>
      <c r="M79" s="13"/>
      <c r="N79" s="13"/>
      <c r="O79" s="13"/>
      <c r="P79" s="13"/>
      <c r="Q79" s="13"/>
      <c r="R79" s="13"/>
      <c r="S79" s="13"/>
      <c r="T79" s="7" t="str">
        <f t="shared" ref="T79:AA79" ca="1" si="61">IF(ROUND(T$57-(T$78-S$78)-(S$85-S$76),3)=0,"OK","ERROR")</f>
        <v>OK</v>
      </c>
      <c r="U79" s="7" t="str">
        <f t="shared" ca="1" si="61"/>
        <v>OK</v>
      </c>
      <c r="V79" s="7" t="str">
        <f t="shared" ca="1" si="61"/>
        <v>OK</v>
      </c>
      <c r="W79" s="7" t="str">
        <f t="shared" ca="1" si="61"/>
        <v>OK</v>
      </c>
      <c r="X79" s="7" t="str">
        <f t="shared" ca="1" si="61"/>
        <v>OK</v>
      </c>
      <c r="Y79" s="7" t="str">
        <f t="shared" ca="1" si="61"/>
        <v>OK</v>
      </c>
      <c r="Z79" s="7" t="str">
        <f t="shared" ca="1" si="61"/>
        <v>OK</v>
      </c>
      <c r="AA79" s="7" t="str">
        <f t="shared" ca="1" si="61"/>
        <v>OK</v>
      </c>
      <c r="AB79" s="7" t="str">
        <f ca="1">IF(ROUND(AB$57-(AB$78-AA$78)-(AA$85-AA$76),3)=0,"OK","ERROR")</f>
        <v>OK</v>
      </c>
      <c r="AC79" s="7" t="str">
        <f ca="1">IF(ROUND(AC$57-(AC$78-AB$78)-(AB$85-AB$76),3)=0,"OK","ERROR")</f>
        <v>OK</v>
      </c>
      <c r="AD79" s="26"/>
      <c r="AE79" s="26"/>
    </row>
    <row r="80" spans="1:31" x14ac:dyDescent="0.2">
      <c r="A80" s="5" t="s">
        <v>882</v>
      </c>
      <c r="B80" s="4" t="str">
        <f>$B$74</f>
        <v>Historic &amp; forecast yrs</v>
      </c>
      <c r="F80" s="7" t="str">
        <f>IF(ROUND('Fiscal Forecasts'!F$199-F$78,3)=0,"OK","ERROR")</f>
        <v>OK</v>
      </c>
      <c r="G80" s="7" t="str">
        <f>IF(ROUND('Fiscal Forecasts'!G$199-G$78,3)=0,"OK","ERROR")</f>
        <v>OK</v>
      </c>
      <c r="H80" s="7" t="str">
        <f>IF(ROUND('Fiscal Forecasts'!H$199-H$78,3)=0,"OK","ERROR")</f>
        <v>OK</v>
      </c>
      <c r="I80" s="7" t="str">
        <f>IF(ROUND('Fiscal Forecasts'!I$199-I$78,3)=0,"OK","ERROR")</f>
        <v>OK</v>
      </c>
      <c r="J80" s="7" t="str">
        <f>IF(ROUND('Fiscal Forecasts'!J$199-J$78,3)=0,"OK","ERROR")</f>
        <v>OK</v>
      </c>
      <c r="K80" s="7" t="str">
        <f>IF(ROUND('Fiscal Forecasts'!K$199-K$78,3)=0,"OK","ERROR")</f>
        <v>OK</v>
      </c>
      <c r="L80" s="7" t="str">
        <f>IF(ROUND('Fiscal Forecasts'!L$199-L$78,3)=0,"OK","ERROR")</f>
        <v>OK</v>
      </c>
      <c r="M80" s="7" t="str">
        <f>IF(ROUND('Fiscal Forecasts'!M$199-M$78,3)=0,"OK","ERROR")</f>
        <v>OK</v>
      </c>
      <c r="N80" s="7" t="str">
        <f>IF(ROUND('Fiscal Forecasts'!N$199-N$78 -IF($D$2="Yes",'Fiscal Forecast Adjuster'!E$38,0)/1000 -IF($D$3="Yes",'NZS Fund Adjuster'!N$12,0),3)=0,"OK","ERROR")</f>
        <v>OK</v>
      </c>
      <c r="O80" s="7" t="str">
        <f>IF(ROUND('Fiscal Forecasts'!O$199-O$78 -IF($D$2="Yes",'Fiscal Forecast Adjuster'!F$38,0)/1000 -IF($D$3="Yes",'NZS Fund Adjuster'!O$12,0),3)=0,"OK","ERROR")</f>
        <v>OK</v>
      </c>
      <c r="P80" s="7" t="str">
        <f>IF(ROUND('Fiscal Forecasts'!P$199-P$78 -IF($D$2="Yes",'Fiscal Forecast Adjuster'!G$38,0)/1000 -IF($D$3="Yes",'NZS Fund Adjuster'!P$12,0),3)=0,"OK","ERROR")</f>
        <v>OK</v>
      </c>
      <c r="Q80" s="7" t="str">
        <f>IF(ROUND('Fiscal Forecasts'!Q$199-Q$78 -IF($D$2="Yes",'Fiscal Forecast Adjuster'!H$38,0)/1000 -IF($D$3="Yes",'NZS Fund Adjuster'!Q$12,0),3)=0,"OK","ERROR")</f>
        <v>OK</v>
      </c>
      <c r="R80" s="7" t="str">
        <f>IF(ROUND('Fiscal Forecasts'!R$199-R$78 -IF($D$2="Yes",'Fiscal Forecast Adjuster'!I$38,0)/1000 -IF($D$3="Yes",'NZS Fund Adjuster'!R$12,0),3)=0,"OK","ERROR")</f>
        <v>OK</v>
      </c>
      <c r="S80" s="7" t="str">
        <f>IF(ROUND('Fiscal Forecasts'!S$199-S$78 -IF($D$2="Yes",'Fiscal Forecast Adjuster'!J$38,0)/1000 -IF($D$3="Yes",'NZS Fund Adjuster'!S$12,0),3)=0,"OK","ERROR")</f>
        <v>OK</v>
      </c>
      <c r="T80" s="26"/>
      <c r="U80" s="26"/>
      <c r="V80" s="26"/>
      <c r="W80" s="26"/>
      <c r="X80" s="26"/>
      <c r="Y80" s="26"/>
      <c r="Z80" s="26"/>
      <c r="AA80" s="26"/>
      <c r="AB80" s="26"/>
      <c r="AC80" s="26"/>
      <c r="AD80" s="91"/>
      <c r="AE80" s="26"/>
    </row>
    <row r="81" spans="1:31" ht="15.75" x14ac:dyDescent="0.25">
      <c r="A81" s="1" t="s">
        <v>394</v>
      </c>
      <c r="F81" s="30"/>
      <c r="G81" s="30"/>
      <c r="H81" s="30"/>
      <c r="I81" s="30"/>
      <c r="J81" s="30"/>
      <c r="K81" s="30"/>
      <c r="L81" s="30"/>
      <c r="M81" s="30"/>
      <c r="N81" s="30"/>
      <c r="O81" s="30"/>
      <c r="P81" s="30"/>
      <c r="Q81" s="30"/>
      <c r="R81" s="30"/>
      <c r="S81" s="30"/>
      <c r="T81" s="30"/>
      <c r="U81" s="30"/>
      <c r="V81" s="30"/>
      <c r="W81" s="30"/>
      <c r="X81" s="30"/>
      <c r="Y81" s="30"/>
      <c r="Z81" s="30"/>
      <c r="AA81" s="30"/>
      <c r="AB81" s="30"/>
      <c r="AC81" s="30"/>
      <c r="AD81" s="91"/>
      <c r="AE81" s="26"/>
    </row>
    <row r="82" spans="1:31" x14ac:dyDescent="0.2">
      <c r="A82" s="3" t="s">
        <v>648</v>
      </c>
      <c r="B82" s="4" t="str">
        <f>$B$46</f>
        <v>From Fiscal Forecasts</v>
      </c>
      <c r="F82" s="65">
        <f>'Fiscal Forecasts'!F$147</f>
        <v>31.163</v>
      </c>
      <c r="G82" s="65">
        <f>'Fiscal Forecasts'!G$147</f>
        <v>33.192</v>
      </c>
      <c r="H82" s="65">
        <f>'Fiscal Forecasts'!H$147</f>
        <v>44.448</v>
      </c>
      <c r="I82" s="65">
        <f>'Fiscal Forecasts'!I$147</f>
        <v>50.017000000000003</v>
      </c>
      <c r="J82" s="65">
        <f>'Fiscal Forecasts'!J$147</f>
        <v>67.765000000000001</v>
      </c>
      <c r="K82" s="65">
        <f>'Fiscal Forecasts'!K$147</f>
        <v>75.700999999999993</v>
      </c>
      <c r="L82" s="65">
        <f>'Fiscal Forecasts'!L$147</f>
        <v>75.683999999999997</v>
      </c>
      <c r="M82" s="65">
        <f>'Fiscal Forecasts'!M$147</f>
        <v>77.460999999999999</v>
      </c>
      <c r="N82" s="65">
        <f>'Fiscal Forecasts'!N$147 +IF($D$2="Yes",'Fiscal Forecast Adjuster'!E$38,0)/1000 +IF($D$3="Yes",'NZS Fund Adjuster'!N$12,0)</f>
        <v>84.007999999999996</v>
      </c>
      <c r="O82" s="73">
        <f>'Fiscal Forecasts'!O$147 +IF($D$2="Yes",'Fiscal Forecast Adjuster'!F$38,0)/1000 +IF($D$3="Yes",'NZS Fund Adjuster'!O$12,0)</f>
        <v>86.457999999999998</v>
      </c>
      <c r="P82" s="73">
        <f>'Fiscal Forecasts'!P$147 +IF($D$2="Yes",'Fiscal Forecast Adjuster'!G$38,0)/1000 +IF($D$3="Yes",'NZS Fund Adjuster'!P$12,0)</f>
        <v>95.024000000000001</v>
      </c>
      <c r="Q82" s="73">
        <f>'Fiscal Forecasts'!Q$147 +IF($D$2="Yes",'Fiscal Forecast Adjuster'!H$38,0)/1000 +IF($D$3="Yes",'NZS Fund Adjuster'!Q$12,0)</f>
        <v>91.835999999999999</v>
      </c>
      <c r="R82" s="73">
        <f>'Fiscal Forecasts'!R$147 +IF($D$2="Yes",'Fiscal Forecast Adjuster'!I$38,0)/1000 +IF($D$3="Yes",'NZS Fund Adjuster'!R$12,0)</f>
        <v>88.290999999999997</v>
      </c>
      <c r="S82" s="73">
        <f>'Fiscal Forecasts'!S$147 +IF($D$2="Yes",'Fiscal Forecast Adjuster'!J$38,0)/1000 +IF($D$3="Yes",'NZS Fund Adjuster'!S$12,0)</f>
        <v>89.182000000000002</v>
      </c>
      <c r="T82" s="26">
        <f ca="1">IF(T$4=OFFSET(Choices!$B$10,0,$C$1),AVERAGE(Q$82/Q$87,R$82/R$87,S$82/S$87),S$82/S$87)*T$87</f>
        <v>87.907518473250704</v>
      </c>
      <c r="U82" s="26">
        <f ca="1">IF(U$4=OFFSET(Choices!$B$10,0,$C$1),AVERAGE(R$82/R$87,S$82/S$87,T$82/T$87),T$82/T$87)*U$87</f>
        <v>85.033052886628766</v>
      </c>
      <c r="V82" s="26">
        <f ca="1">IF(V$4=OFFSET(Choices!$B$10,0,$C$1),AVERAGE(S$82/S$87,T$82/T$87,U$82/U$87),U$82/U$87)*V$87</f>
        <v>83.629959218364164</v>
      </c>
      <c r="W82" s="26">
        <f ca="1">IF(W$4=OFFSET(Choices!$B$10,0,$C$1),AVERAGE(T$82/T$87,U$82/U$87,V$82/V$87),V$82/V$87)*W$87</f>
        <v>81.067911012416218</v>
      </c>
      <c r="X82" s="26">
        <f ca="1">IF(X$4=OFFSET(Choices!$B$10,0,$C$1),AVERAGE(U$82/U$87,V$82/V$87,W$82/W$87),W$82/W$87)*X$87</f>
        <v>77.42928917346876</v>
      </c>
      <c r="Y82" s="26">
        <f ca="1">IF(Y$4=OFFSET(Choices!$B$10,0,$C$1),AVERAGE(V$82/V$87,W$82/W$87,X$82/X$87),X$82/X$87)*Y$87</f>
        <v>72.554790096021634</v>
      </c>
      <c r="Z82" s="26">
        <f ca="1">IF(Z$4=OFFSET(Choices!$B$10,0,$C$1),AVERAGE(W$82/W$87,X$82/X$87,Y$82/Y$87),Y$82/Y$87)*Z$87</f>
        <v>66.346085332407142</v>
      </c>
      <c r="AA82" s="26">
        <f ca="1">IF(AA$4=OFFSET(Choices!$B$10,0,$C$1),AVERAGE(X$82/X$87,Y$82/Y$87,Z$82/Z$87),Z$82/Z$87)*AA$87</f>
        <v>58.564181177039387</v>
      </c>
      <c r="AB82" s="26">
        <f ca="1">IF(AB$4=OFFSET(Choices!$B$10,0,$C$1),AVERAGE(Y$82/Y$87,Z$82/Z$87,AA$82/AA$87),AA$82/AA$87)*AB$87</f>
        <v>49.078087289574228</v>
      </c>
      <c r="AC82" s="26">
        <f ca="1">IF(AC$4=OFFSET(Choices!$B$10,0,$C$1),AVERAGE(Z$82/Z$87,AA$82/AA$87,AB$82/AB$87),AB$82/AB$87)*AC$87</f>
        <v>37.74353128823622</v>
      </c>
      <c r="AD82" s="91"/>
      <c r="AE82" s="26"/>
    </row>
    <row r="83" spans="1:31" x14ac:dyDescent="0.2">
      <c r="A83" s="3" t="s">
        <v>649</v>
      </c>
      <c r="B83" s="4" t="str">
        <f>$B$46</f>
        <v>From Fiscal Forecasts</v>
      </c>
      <c r="F83" s="65">
        <f>'Fiscal Forecasts'!F$148</f>
        <v>10.734999999999999</v>
      </c>
      <c r="G83" s="65">
        <f>'Fiscal Forecasts'!G$148</f>
        <v>12.917999999999999</v>
      </c>
      <c r="H83" s="65">
        <f>'Fiscal Forecasts'!H$148</f>
        <v>17.504999999999999</v>
      </c>
      <c r="I83" s="65">
        <f>'Fiscal Forecasts'!I$148</f>
        <v>19.716000000000001</v>
      </c>
      <c r="J83" s="65">
        <f>'Fiscal Forecasts'!J$148</f>
        <v>22.48</v>
      </c>
      <c r="K83" s="65">
        <f>'Fiscal Forecasts'!K$148</f>
        <v>24.832999999999998</v>
      </c>
      <c r="L83" s="65">
        <f>'Fiscal Forecasts'!L$148</f>
        <v>24.402999999999999</v>
      </c>
      <c r="M83" s="65">
        <f>'Fiscal Forecasts'!M$148</f>
        <v>25.957999999999998</v>
      </c>
      <c r="N83" s="65">
        <f>'Fiscal Forecasts'!N$148</f>
        <v>28.571999999999999</v>
      </c>
      <c r="O83" s="73">
        <f>'Fiscal Forecasts'!O$148</f>
        <v>30.518000000000001</v>
      </c>
      <c r="P83" s="73">
        <f>'Fiscal Forecasts'!P$148</f>
        <v>31.847000000000001</v>
      </c>
      <c r="Q83" s="73">
        <f>'Fiscal Forecasts'!Q$148</f>
        <v>33.405999999999999</v>
      </c>
      <c r="R83" s="73">
        <f>'Fiscal Forecasts'!R$148</f>
        <v>35.042000000000002</v>
      </c>
      <c r="S83" s="73">
        <f>'Fiscal Forecasts'!S$148</f>
        <v>36.460999999999999</v>
      </c>
      <c r="T83" s="26">
        <f t="shared" ref="T83:AC83" ca="1" si="62">SUM(S$82,S$83,T$113,T$227-T$103)-T$82</f>
        <v>35.645757650608758</v>
      </c>
      <c r="U83" s="26">
        <f t="shared" ca="1" si="62"/>
        <v>35.02837675930671</v>
      </c>
      <c r="V83" s="26">
        <f t="shared" ca="1" si="62"/>
        <v>34.8501091800143</v>
      </c>
      <c r="W83" s="26">
        <f t="shared" ca="1" si="62"/>
        <v>34.668295079143235</v>
      </c>
      <c r="X83" s="26">
        <f t="shared" ca="1" si="62"/>
        <v>34.454911690293756</v>
      </c>
      <c r="Y83" s="26">
        <f t="shared" ca="1" si="62"/>
        <v>34.331859412718103</v>
      </c>
      <c r="Z83" s="26">
        <f t="shared" ca="1" si="62"/>
        <v>34.096599386674455</v>
      </c>
      <c r="AA83" s="26">
        <f t="shared" ca="1" si="62"/>
        <v>33.75276346611264</v>
      </c>
      <c r="AB83" s="26">
        <f t="shared" ca="1" si="62"/>
        <v>33.279808930754371</v>
      </c>
      <c r="AC83" s="26">
        <f t="shared" ca="1" si="62"/>
        <v>32.643320465871959</v>
      </c>
      <c r="AD83" s="91"/>
      <c r="AE83" s="26"/>
    </row>
    <row r="84" spans="1:31" x14ac:dyDescent="0.2">
      <c r="A84" s="31" t="s">
        <v>335</v>
      </c>
      <c r="F84" s="56">
        <f>SUM(F$82:F$83)</f>
        <v>41.897999999999996</v>
      </c>
      <c r="G84" s="56">
        <f t="shared" ref="G84:AC84" si="63">SUM(G$82:G$83)</f>
        <v>46.11</v>
      </c>
      <c r="H84" s="56">
        <f t="shared" si="63"/>
        <v>61.953000000000003</v>
      </c>
      <c r="I84" s="56">
        <f t="shared" si="63"/>
        <v>69.733000000000004</v>
      </c>
      <c r="J84" s="56">
        <f t="shared" si="63"/>
        <v>90.245000000000005</v>
      </c>
      <c r="K84" s="56">
        <f t="shared" si="63"/>
        <v>100.53399999999999</v>
      </c>
      <c r="L84" s="56">
        <f t="shared" si="63"/>
        <v>100.08699999999999</v>
      </c>
      <c r="M84" s="56">
        <f t="shared" si="63"/>
        <v>103.419</v>
      </c>
      <c r="N84" s="56">
        <f t="shared" si="63"/>
        <v>112.58</v>
      </c>
      <c r="O84" s="57">
        <f t="shared" si="63"/>
        <v>116.976</v>
      </c>
      <c r="P84" s="57">
        <f t="shared" si="63"/>
        <v>126.87100000000001</v>
      </c>
      <c r="Q84" s="57">
        <f t="shared" si="63"/>
        <v>125.24199999999999</v>
      </c>
      <c r="R84" s="57">
        <f t="shared" si="63"/>
        <v>123.333</v>
      </c>
      <c r="S84" s="57">
        <f t="shared" si="63"/>
        <v>125.643</v>
      </c>
      <c r="T84" s="58">
        <f t="shared" ca="1" si="63"/>
        <v>123.55327612385946</v>
      </c>
      <c r="U84" s="58">
        <f t="shared" ca="1" si="63"/>
        <v>120.06142964593548</v>
      </c>
      <c r="V84" s="58">
        <f t="shared" ca="1" si="63"/>
        <v>118.48006839837846</v>
      </c>
      <c r="W84" s="58">
        <f t="shared" ca="1" si="63"/>
        <v>115.73620609155945</v>
      </c>
      <c r="X84" s="58">
        <f t="shared" ca="1" si="63"/>
        <v>111.88420086376252</v>
      </c>
      <c r="Y84" s="58">
        <f t="shared" ca="1" si="63"/>
        <v>106.88664950873974</v>
      </c>
      <c r="Z84" s="58">
        <f t="shared" ca="1" si="63"/>
        <v>100.4426847190816</v>
      </c>
      <c r="AA84" s="58">
        <f t="shared" ca="1" si="63"/>
        <v>92.316944643152027</v>
      </c>
      <c r="AB84" s="58">
        <f t="shared" ca="1" si="63"/>
        <v>82.357896220328598</v>
      </c>
      <c r="AC84" s="58">
        <f t="shared" ca="1" si="63"/>
        <v>70.386851754108179</v>
      </c>
      <c r="AD84" s="91"/>
      <c r="AE84" s="26"/>
    </row>
    <row r="85" spans="1:31" x14ac:dyDescent="0.2">
      <c r="A85" s="3" t="s">
        <v>650</v>
      </c>
      <c r="B85" s="4" t="str">
        <f>$B$46</f>
        <v>From Fiscal Forecasts</v>
      </c>
      <c r="F85" s="65">
        <f>'Fiscal Forecasts'!F$150</f>
        <v>35.892000000000003</v>
      </c>
      <c r="G85" s="65">
        <f>'Fiscal Forecasts'!G$150</f>
        <v>37.335999999999999</v>
      </c>
      <c r="H85" s="65">
        <f>'Fiscal Forecasts'!H$150</f>
        <v>50.545000000000002</v>
      </c>
      <c r="I85" s="65">
        <f>'Fiscal Forecasts'!I$150</f>
        <v>58.582999999999998</v>
      </c>
      <c r="J85" s="65">
        <f>'Fiscal Forecasts'!J$150</f>
        <v>76.885000000000005</v>
      </c>
      <c r="K85" s="65">
        <f>'Fiscal Forecasts'!K$150</f>
        <v>84.68</v>
      </c>
      <c r="L85" s="65">
        <f>'Fiscal Forecasts'!L$150</f>
        <v>84.873000000000005</v>
      </c>
      <c r="M85" s="65">
        <f>'Fiscal Forecasts'!M$150</f>
        <v>89.09</v>
      </c>
      <c r="N85" s="65">
        <f>'Fiscal Forecasts'!N$150 +IF($D$2="Yes",'Fiscal Forecast Adjuster'!E$38,0)/1000 +IF($D$3="Yes",'NZS Fund Adjuster'!N$12,0)</f>
        <v>95.649000000000001</v>
      </c>
      <c r="O85" s="73">
        <f>'Fiscal Forecasts'!O$150 +IF($D$2="Yes",'Fiscal Forecast Adjuster'!F$38,0)/1000 +IF($D$3="Yes",'NZS Fund Adjuster'!O$12,0)</f>
        <v>98.09</v>
      </c>
      <c r="P85" s="73">
        <f>'Fiscal Forecasts'!P$150 +IF($D$2="Yes",'Fiscal Forecast Adjuster'!G$38,0)/1000 +IF($D$3="Yes",'NZS Fund Adjuster'!P$12,0)</f>
        <v>106.69</v>
      </c>
      <c r="Q85" s="73">
        <f>'Fiscal Forecasts'!Q$150 +IF($D$2="Yes",'Fiscal Forecast Adjuster'!H$38,0)/1000 +IF($D$3="Yes",'NZS Fund Adjuster'!Q$12,0)</f>
        <v>103.94199999999999</v>
      </c>
      <c r="R85" s="73">
        <f>'Fiscal Forecasts'!R$150 +IF($D$2="Yes",'Fiscal Forecast Adjuster'!I$38,0)/1000 +IF($D$3="Yes",'NZS Fund Adjuster'!R$12,0)</f>
        <v>100.922</v>
      </c>
      <c r="S85" s="73">
        <f>'Fiscal Forecasts'!S$150 +IF($D$2="Yes",'Fiscal Forecast Adjuster'!J$38,0)/1000 +IF($D$3="Yes",'NZS Fund Adjuster'!S$12,0)</f>
        <v>102.363</v>
      </c>
      <c r="T85" s="26">
        <f t="shared" ref="T85:AC85" ca="1" si="64">SUM(S$85,T$483,T$223-(-T$462))</f>
        <v>100.77354353051919</v>
      </c>
      <c r="U85" s="26">
        <f t="shared" ca="1" si="64"/>
        <v>97.810652678160707</v>
      </c>
      <c r="V85" s="26">
        <f t="shared" ca="1" si="64"/>
        <v>96.737683868328332</v>
      </c>
      <c r="W85" s="26">
        <f t="shared" ca="1" si="64"/>
        <v>94.396340950408643</v>
      </c>
      <c r="X85" s="26">
        <f t="shared" ca="1" si="64"/>
        <v>90.876748380909831</v>
      </c>
      <c r="Y85" s="26">
        <f t="shared" ca="1" si="64"/>
        <v>85.998870362401263</v>
      </c>
      <c r="Z85" s="26">
        <f t="shared" ca="1" si="64"/>
        <v>79.650435488250423</v>
      </c>
      <c r="AA85" s="26">
        <f t="shared" ca="1" si="64"/>
        <v>71.566690319106698</v>
      </c>
      <c r="AB85" s="26">
        <f t="shared" ca="1" si="64"/>
        <v>61.602806202880977</v>
      </c>
      <c r="AC85" s="26">
        <f t="shared" ca="1" si="64"/>
        <v>49.602880875253383</v>
      </c>
      <c r="AD85" s="91"/>
      <c r="AE85" s="26"/>
    </row>
    <row r="86" spans="1:31" x14ac:dyDescent="0.2">
      <c r="A86" s="3" t="s">
        <v>816</v>
      </c>
      <c r="B86" s="4" t="str">
        <f>$B$46</f>
        <v>From Fiscal Forecasts</v>
      </c>
      <c r="F86" s="65">
        <f>'Fiscal Forecasts'!F$151</f>
        <v>0.91300000000000003</v>
      </c>
      <c r="G86" s="65">
        <f>'Fiscal Forecasts'!G$151</f>
        <v>0.40899999999999997</v>
      </c>
      <c r="H86" s="65">
        <f>'Fiscal Forecasts'!H$151</f>
        <v>0.42799999999999999</v>
      </c>
      <c r="I86" s="65">
        <f>'Fiscal Forecasts'!I$151</f>
        <v>0.308</v>
      </c>
      <c r="J86" s="65">
        <f>'Fiscal Forecasts'!J$151</f>
        <v>0.40500000000000003</v>
      </c>
      <c r="K86" s="65">
        <f>'Fiscal Forecasts'!K$151</f>
        <v>-0.51200000000000001</v>
      </c>
      <c r="L86" s="65">
        <f>'Fiscal Forecasts'!L$151</f>
        <v>-0.58699999999999997</v>
      </c>
      <c r="M86" s="65">
        <f>'Fiscal Forecasts'!M$151</f>
        <v>-0.622</v>
      </c>
      <c r="N86" s="65">
        <f>'Fiscal Forecasts'!N$151</f>
        <v>-2.4929999999999999</v>
      </c>
      <c r="O86" s="73">
        <f>'Fiscal Forecasts'!O$151</f>
        <v>-3.177</v>
      </c>
      <c r="P86" s="73">
        <f>'Fiscal Forecasts'!P$151</f>
        <v>-3.2240000000000002</v>
      </c>
      <c r="Q86" s="73">
        <f>'Fiscal Forecasts'!Q$151</f>
        <v>-3.226</v>
      </c>
      <c r="R86" s="73">
        <f>'Fiscal Forecasts'!R$151</f>
        <v>-3.2250000000000001</v>
      </c>
      <c r="S86" s="73">
        <f>'Fiscal Forecasts'!S$151</f>
        <v>-3.2269999999999999</v>
      </c>
      <c r="T86" s="26">
        <f t="shared" ref="T86:AC86" ca="1" si="65">-SUM(-S$86,SUM(T$370-T$348,T$372)-SUM(S$370-S$348,S$372)-(T$362-(T$348-S$348)-T$363-(T$364-(T$427-S$427)))-SUM(T$365:T$367))</f>
        <v>-3.6434051505613647</v>
      </c>
      <c r="U86" s="26">
        <f t="shared" ca="1" si="65"/>
        <v>-3.8565479873118664</v>
      </c>
      <c r="V86" s="26">
        <f t="shared" ca="1" si="65"/>
        <v>-4.3338752673418579</v>
      </c>
      <c r="W86" s="26">
        <f t="shared" ca="1" si="65"/>
        <v>-4.8233720898883989</v>
      </c>
      <c r="X86" s="26">
        <f t="shared" ca="1" si="65"/>
        <v>-5.3241391991449829</v>
      </c>
      <c r="Y86" s="26">
        <f t="shared" ca="1" si="65"/>
        <v>-5.8321573832403626</v>
      </c>
      <c r="Z86" s="26">
        <f t="shared" ca="1" si="65"/>
        <v>-6.3437995915029086</v>
      </c>
      <c r="AA86" s="26">
        <f t="shared" ca="1" si="65"/>
        <v>-6.8583795781356836</v>
      </c>
      <c r="AB86" s="26">
        <f t="shared" ca="1" si="65"/>
        <v>-7.3758015888157127</v>
      </c>
      <c r="AC86" s="26">
        <f t="shared" ca="1" si="65"/>
        <v>-7.8995717539728689</v>
      </c>
      <c r="AD86" s="91"/>
      <c r="AE86" s="26"/>
    </row>
    <row r="87" spans="1:31" x14ac:dyDescent="0.2">
      <c r="A87" s="31" t="s">
        <v>340</v>
      </c>
      <c r="F87" s="56">
        <f>SUM(F$85:F$86)</f>
        <v>36.805</v>
      </c>
      <c r="G87" s="56">
        <f t="shared" ref="G87:AC87" si="66">SUM(G$85:G$86)</f>
        <v>37.744999999999997</v>
      </c>
      <c r="H87" s="56">
        <f t="shared" si="66"/>
        <v>50.972999999999999</v>
      </c>
      <c r="I87" s="56">
        <f t="shared" si="66"/>
        <v>58.890999999999998</v>
      </c>
      <c r="J87" s="56">
        <f t="shared" si="66"/>
        <v>77.290000000000006</v>
      </c>
      <c r="K87" s="56">
        <f t="shared" si="66"/>
        <v>84.168000000000006</v>
      </c>
      <c r="L87" s="56">
        <f t="shared" si="66"/>
        <v>84.286000000000001</v>
      </c>
      <c r="M87" s="56">
        <f t="shared" si="66"/>
        <v>88.468000000000004</v>
      </c>
      <c r="N87" s="56">
        <f t="shared" si="66"/>
        <v>93.156000000000006</v>
      </c>
      <c r="O87" s="57">
        <f t="shared" si="66"/>
        <v>94.912999999999997</v>
      </c>
      <c r="P87" s="57">
        <f t="shared" si="66"/>
        <v>103.46599999999999</v>
      </c>
      <c r="Q87" s="57">
        <f t="shared" si="66"/>
        <v>100.71599999999999</v>
      </c>
      <c r="R87" s="57">
        <f t="shared" si="66"/>
        <v>97.697000000000003</v>
      </c>
      <c r="S87" s="57">
        <f t="shared" si="66"/>
        <v>99.135999999999996</v>
      </c>
      <c r="T87" s="58">
        <f t="shared" ca="1" si="66"/>
        <v>97.130138379957828</v>
      </c>
      <c r="U87" s="58">
        <f t="shared" ca="1" si="66"/>
        <v>93.954104690848837</v>
      </c>
      <c r="V87" s="58">
        <f t="shared" ca="1" si="66"/>
        <v>92.40380860098648</v>
      </c>
      <c r="W87" s="58">
        <f t="shared" ca="1" si="66"/>
        <v>89.572968860520248</v>
      </c>
      <c r="X87" s="58">
        <f t="shared" ca="1" si="66"/>
        <v>85.552609181764851</v>
      </c>
      <c r="Y87" s="58">
        <f t="shared" ca="1" si="66"/>
        <v>80.166712979160906</v>
      </c>
      <c r="Z87" s="58">
        <f t="shared" ca="1" si="66"/>
        <v>73.306635896747508</v>
      </c>
      <c r="AA87" s="58">
        <f t="shared" ca="1" si="66"/>
        <v>64.708310740971015</v>
      </c>
      <c r="AB87" s="58">
        <f t="shared" ca="1" si="66"/>
        <v>54.227004614065265</v>
      </c>
      <c r="AC87" s="58">
        <f t="shared" ca="1" si="66"/>
        <v>41.703309121280512</v>
      </c>
      <c r="AD87" s="91"/>
      <c r="AE87" s="26"/>
    </row>
    <row r="88" spans="1:31" x14ac:dyDescent="0.2">
      <c r="A88" s="3" t="s">
        <v>659</v>
      </c>
      <c r="B88" s="4" t="str">
        <f>$B$46</f>
        <v>From Fiscal Forecasts</v>
      </c>
      <c r="F88" s="65">
        <f>'Fiscal Forecasts'!F$153</f>
        <v>44.271999999999998</v>
      </c>
      <c r="G88" s="65">
        <f>'Fiscal Forecasts'!G$153</f>
        <v>50.698</v>
      </c>
      <c r="H88" s="65">
        <f>'Fiscal Forecasts'!H$153</f>
        <v>55.768999999999998</v>
      </c>
      <c r="I88" s="65">
        <f>'Fiscal Forecasts'!I$153</f>
        <v>57.209000000000003</v>
      </c>
      <c r="J88" s="65">
        <f>'Fiscal Forecasts'!J$153</f>
        <v>65.400000000000006</v>
      </c>
      <c r="K88" s="65">
        <f>'Fiscal Forecasts'!K$153</f>
        <v>64.016999999999996</v>
      </c>
      <c r="L88" s="65">
        <f>'Fiscal Forecasts'!L$153</f>
        <v>62.984000000000002</v>
      </c>
      <c r="M88" s="65">
        <f>'Fiscal Forecasts'!M$153</f>
        <v>68.046999999999997</v>
      </c>
      <c r="N88" s="65">
        <f>'Fiscal Forecasts'!N$153</f>
        <v>76.433999999999997</v>
      </c>
      <c r="O88" s="73">
        <f>'Fiscal Forecasts'!O$153</f>
        <v>75.212999999999994</v>
      </c>
      <c r="P88" s="73">
        <f>'Fiscal Forecasts'!P$153</f>
        <v>80.84</v>
      </c>
      <c r="Q88" s="73">
        <f>'Fiscal Forecasts'!Q$153</f>
        <v>77.722999999999999</v>
      </c>
      <c r="R88" s="73">
        <f>'Fiscal Forecasts'!R$153</f>
        <v>77.741</v>
      </c>
      <c r="S88" s="73">
        <f>'Fiscal Forecasts'!S$153</f>
        <v>83.314999999999998</v>
      </c>
      <c r="T88" s="26">
        <f t="shared" ref="T88:AC88" ca="1" si="67">SUM(T$345,T$355,T$383)</f>
        <v>87.616945888562753</v>
      </c>
      <c r="U88" s="26">
        <f t="shared" ca="1" si="67"/>
        <v>92.015707827831775</v>
      </c>
      <c r="V88" s="26">
        <f t="shared" ca="1" si="67"/>
        <v>99.528621532583387</v>
      </c>
      <c r="W88" s="26">
        <f t="shared" ca="1" si="67"/>
        <v>107.21806014849594</v>
      </c>
      <c r="X88" s="26">
        <f t="shared" ca="1" si="67"/>
        <v>115.07172003994737</v>
      </c>
      <c r="Y88" s="26">
        <f t="shared" ca="1" si="67"/>
        <v>123.03108059969851</v>
      </c>
      <c r="Z88" s="26">
        <f t="shared" ca="1" si="67"/>
        <v>131.09944883967827</v>
      </c>
      <c r="AA88" s="26">
        <f t="shared" ca="1" si="67"/>
        <v>139.26924962998478</v>
      </c>
      <c r="AB88" s="26">
        <f t="shared" ca="1" si="67"/>
        <v>147.5296798754205</v>
      </c>
      <c r="AC88" s="26">
        <f t="shared" ca="1" si="67"/>
        <v>155.9309338791403</v>
      </c>
      <c r="AD88" s="91"/>
      <c r="AE88" s="26"/>
    </row>
    <row r="89" spans="1:31" x14ac:dyDescent="0.2">
      <c r="A89" s="31" t="s">
        <v>339</v>
      </c>
      <c r="F89" s="56">
        <f>F$87-F$88</f>
        <v>-7.4669999999999987</v>
      </c>
      <c r="G89" s="56">
        <f t="shared" ref="G89:AC89" si="68">G$87-G$88</f>
        <v>-12.953000000000003</v>
      </c>
      <c r="H89" s="56">
        <f t="shared" si="68"/>
        <v>-4.7959999999999994</v>
      </c>
      <c r="I89" s="56">
        <f t="shared" si="68"/>
        <v>1.6819999999999951</v>
      </c>
      <c r="J89" s="56">
        <f t="shared" si="68"/>
        <v>11.89</v>
      </c>
      <c r="K89" s="56">
        <f t="shared" si="68"/>
        <v>20.15100000000001</v>
      </c>
      <c r="L89" s="56">
        <f t="shared" si="68"/>
        <v>21.302</v>
      </c>
      <c r="M89" s="56">
        <f t="shared" si="68"/>
        <v>20.421000000000006</v>
      </c>
      <c r="N89" s="56">
        <f t="shared" si="68"/>
        <v>16.722000000000008</v>
      </c>
      <c r="O89" s="57">
        <f t="shared" si="68"/>
        <v>19.700000000000003</v>
      </c>
      <c r="P89" s="57">
        <f t="shared" si="68"/>
        <v>22.625999999999991</v>
      </c>
      <c r="Q89" s="57">
        <f t="shared" si="68"/>
        <v>22.992999999999995</v>
      </c>
      <c r="R89" s="57">
        <f t="shared" si="68"/>
        <v>19.956000000000003</v>
      </c>
      <c r="S89" s="57">
        <f t="shared" si="68"/>
        <v>15.820999999999998</v>
      </c>
      <c r="T89" s="58">
        <f t="shared" ca="1" si="68"/>
        <v>9.5131924913950741</v>
      </c>
      <c r="U89" s="58">
        <f t="shared" ca="1" si="68"/>
        <v>1.9383968630170614</v>
      </c>
      <c r="V89" s="58">
        <f t="shared" ca="1" si="68"/>
        <v>-7.1248129315969067</v>
      </c>
      <c r="W89" s="58">
        <f t="shared" ca="1" si="68"/>
        <v>-17.645091287975688</v>
      </c>
      <c r="X89" s="58">
        <f t="shared" ca="1" si="68"/>
        <v>-29.519110858182515</v>
      </c>
      <c r="Y89" s="58">
        <f t="shared" ca="1" si="68"/>
        <v>-42.864367620537607</v>
      </c>
      <c r="Z89" s="58">
        <f t="shared" ca="1" si="68"/>
        <v>-57.792812942930766</v>
      </c>
      <c r="AA89" s="58">
        <f t="shared" ca="1" si="68"/>
        <v>-74.560938889013769</v>
      </c>
      <c r="AB89" s="58">
        <f t="shared" ca="1" si="68"/>
        <v>-93.302675261355233</v>
      </c>
      <c r="AC89" s="58">
        <f t="shared" ca="1" si="68"/>
        <v>-114.22762475785979</v>
      </c>
      <c r="AD89" s="91"/>
      <c r="AE89" s="26"/>
    </row>
    <row r="90" spans="1:31" x14ac:dyDescent="0.2">
      <c r="A90" s="3" t="s">
        <v>817</v>
      </c>
      <c r="B90" s="4" t="str">
        <f>$B$46</f>
        <v>From Fiscal Forecasts</v>
      </c>
      <c r="F90" s="65">
        <f>'Fiscal Forecasts'!F$155</f>
        <v>9.0869999999999997</v>
      </c>
      <c r="G90" s="65">
        <f>'Fiscal Forecasts'!G$155</f>
        <v>10.276999999999999</v>
      </c>
      <c r="H90" s="65">
        <f>'Fiscal Forecasts'!H$155</f>
        <v>10.429</v>
      </c>
      <c r="I90" s="65">
        <f>'Fiscal Forecasts'!I$155</f>
        <v>10.867000000000001</v>
      </c>
      <c r="J90" s="65">
        <f>'Fiscal Forecasts'!J$155</f>
        <v>12.079000000000001</v>
      </c>
      <c r="K90" s="65">
        <f>'Fiscal Forecasts'!K$155</f>
        <v>13.324</v>
      </c>
      <c r="L90" s="65">
        <f>'Fiscal Forecasts'!L$155</f>
        <v>13.125999999999999</v>
      </c>
      <c r="M90" s="65">
        <f>'Fiscal Forecasts'!M$155</f>
        <v>13.753</v>
      </c>
      <c r="N90" s="65">
        <f>'Fiscal Forecasts'!N$155</f>
        <v>14.14</v>
      </c>
      <c r="O90" s="73">
        <f>'Fiscal Forecasts'!O$155</f>
        <v>14.613</v>
      </c>
      <c r="P90" s="73">
        <f>'Fiscal Forecasts'!P$155</f>
        <v>14.992000000000001</v>
      </c>
      <c r="Q90" s="73">
        <f>'Fiscal Forecasts'!Q$155</f>
        <v>15.285</v>
      </c>
      <c r="R90" s="73">
        <f>'Fiscal Forecasts'!R$155</f>
        <v>15.509</v>
      </c>
      <c r="S90" s="73">
        <f>'Fiscal Forecasts'!S$155</f>
        <v>15.554</v>
      </c>
      <c r="T90" s="26">
        <f t="shared" ref="T90:AC90" ca="1" si="69">T$383-T$380</f>
        <v>16.088990500614958</v>
      </c>
      <c r="U90" s="26">
        <f t="shared" ca="1" si="69"/>
        <v>16.623172161398621</v>
      </c>
      <c r="V90" s="26">
        <f t="shared" ca="1" si="69"/>
        <v>17.157418468444803</v>
      </c>
      <c r="W90" s="26">
        <f t="shared" ca="1" si="69"/>
        <v>17.69565817698798</v>
      </c>
      <c r="X90" s="26">
        <f t="shared" ca="1" si="69"/>
        <v>18.231339242959084</v>
      </c>
      <c r="Y90" s="26">
        <f t="shared" ca="1" si="69"/>
        <v>18.766712321730644</v>
      </c>
      <c r="Z90" s="26">
        <f t="shared" ca="1" si="69"/>
        <v>19.323847399551962</v>
      </c>
      <c r="AA90" s="26">
        <f t="shared" ca="1" si="69"/>
        <v>19.901985890583987</v>
      </c>
      <c r="AB90" s="26">
        <f t="shared" ca="1" si="69"/>
        <v>20.497764140768325</v>
      </c>
      <c r="AC90" s="26">
        <f t="shared" ca="1" si="69"/>
        <v>21.112067634424225</v>
      </c>
      <c r="AD90" s="91"/>
      <c r="AE90" s="26"/>
    </row>
    <row r="91" spans="1:31" x14ac:dyDescent="0.2">
      <c r="A91" s="3" t="s">
        <v>818</v>
      </c>
      <c r="B91" s="4" t="str">
        <f>$B$46</f>
        <v>From Fiscal Forecasts</v>
      </c>
      <c r="F91" s="65">
        <f>'Fiscal Forecasts'!F$156</f>
        <v>11.576000000000001</v>
      </c>
      <c r="G91" s="65">
        <f>'Fiscal Forecasts'!G$156</f>
        <v>12.933999999999999</v>
      </c>
      <c r="H91" s="65">
        <f>'Fiscal Forecasts'!H$156</f>
        <v>11.486000000000001</v>
      </c>
      <c r="I91" s="65">
        <f>'Fiscal Forecasts'!I$156</f>
        <v>14.189</v>
      </c>
      <c r="J91" s="65">
        <f>'Fiscal Forecasts'!J$156</f>
        <v>16.158999999999999</v>
      </c>
      <c r="K91" s="65">
        <f>'Fiscal Forecasts'!K$156</f>
        <v>17.196000000000002</v>
      </c>
      <c r="L91" s="65">
        <f>'Fiscal Forecasts'!L$156</f>
        <v>21.407</v>
      </c>
      <c r="M91" s="65">
        <f>'Fiscal Forecasts'!M$156</f>
        <v>25.757000000000001</v>
      </c>
      <c r="N91" s="65">
        <f>'Fiscal Forecasts'!N$156</f>
        <v>29.768999999999998</v>
      </c>
      <c r="O91" s="73">
        <f>'Fiscal Forecasts'!O$156</f>
        <v>31.577000000000002</v>
      </c>
      <c r="P91" s="73">
        <f>'Fiscal Forecasts'!P$156</f>
        <v>33.072000000000003</v>
      </c>
      <c r="Q91" s="73">
        <f>'Fiscal Forecasts'!Q$156</f>
        <v>35.143000000000001</v>
      </c>
      <c r="R91" s="73">
        <f>'Fiscal Forecasts'!R$156</f>
        <v>37.36</v>
      </c>
      <c r="S91" s="73">
        <f>'Fiscal Forecasts'!S$156</f>
        <v>39.734999999999999</v>
      </c>
      <c r="T91" s="26">
        <f t="shared" ref="T91:AC91" ca="1" si="70">T$370-T$348</f>
        <v>42.141695373200136</v>
      </c>
      <c r="U91" s="26">
        <f t="shared" ca="1" si="70"/>
        <v>44.607026602129096</v>
      </c>
      <c r="V91" s="26">
        <f t="shared" ca="1" si="70"/>
        <v>50.128065300019287</v>
      </c>
      <c r="W91" s="26">
        <f t="shared" ca="1" si="70"/>
        <v>55.789863845461817</v>
      </c>
      <c r="X91" s="26">
        <f t="shared" ca="1" si="70"/>
        <v>61.582020934540402</v>
      </c>
      <c r="Y91" s="26">
        <f t="shared" ca="1" si="70"/>
        <v>67.458048077691203</v>
      </c>
      <c r="Z91" s="26">
        <f t="shared" ca="1" si="70"/>
        <v>73.375992744742362</v>
      </c>
      <c r="AA91" s="26">
        <f t="shared" ca="1" si="70"/>
        <v>79.327917426652505</v>
      </c>
      <c r="AB91" s="26">
        <f t="shared" ca="1" si="70"/>
        <v>85.312714574481703</v>
      </c>
      <c r="AC91" s="26">
        <f t="shared" ca="1" si="70"/>
        <v>91.370938086138665</v>
      </c>
      <c r="AD91" s="91"/>
      <c r="AE91" s="26"/>
    </row>
    <row r="92" spans="1:31" x14ac:dyDescent="0.2">
      <c r="A92" s="31" t="s">
        <v>827</v>
      </c>
      <c r="F92" s="56">
        <f>SUM(F$89:F$91)</f>
        <v>13.196000000000002</v>
      </c>
      <c r="G92" s="56">
        <f t="shared" ref="G92:AC92" si="71">SUM(G$89:G$91)</f>
        <v>10.257999999999996</v>
      </c>
      <c r="H92" s="56">
        <f t="shared" si="71"/>
        <v>17.119</v>
      </c>
      <c r="I92" s="56">
        <f t="shared" si="71"/>
        <v>26.737999999999996</v>
      </c>
      <c r="J92" s="56">
        <f t="shared" si="71"/>
        <v>40.128</v>
      </c>
      <c r="K92" s="56">
        <f t="shared" si="71"/>
        <v>50.671000000000006</v>
      </c>
      <c r="L92" s="56">
        <f t="shared" si="71"/>
        <v>55.834999999999994</v>
      </c>
      <c r="M92" s="56">
        <f t="shared" si="71"/>
        <v>59.931000000000012</v>
      </c>
      <c r="N92" s="56">
        <f t="shared" si="71"/>
        <v>60.631000000000007</v>
      </c>
      <c r="O92" s="57">
        <f t="shared" si="71"/>
        <v>65.89</v>
      </c>
      <c r="P92" s="57">
        <f t="shared" si="71"/>
        <v>70.69</v>
      </c>
      <c r="Q92" s="57">
        <f t="shared" si="71"/>
        <v>73.420999999999992</v>
      </c>
      <c r="R92" s="57">
        <f t="shared" si="71"/>
        <v>72.825000000000003</v>
      </c>
      <c r="S92" s="57">
        <f t="shared" si="71"/>
        <v>71.11</v>
      </c>
      <c r="T92" s="58">
        <f t="shared" ca="1" si="71"/>
        <v>67.743878365210165</v>
      </c>
      <c r="U92" s="58">
        <f t="shared" ca="1" si="71"/>
        <v>63.168595626544779</v>
      </c>
      <c r="V92" s="58">
        <f t="shared" ca="1" si="71"/>
        <v>60.160670836867183</v>
      </c>
      <c r="W92" s="58">
        <f t="shared" ca="1" si="71"/>
        <v>55.840430734474111</v>
      </c>
      <c r="X92" s="58">
        <f t="shared" ca="1" si="71"/>
        <v>50.294249319316975</v>
      </c>
      <c r="Y92" s="58">
        <f t="shared" ca="1" si="71"/>
        <v>43.36039277888424</v>
      </c>
      <c r="Z92" s="58">
        <f t="shared" ca="1" si="71"/>
        <v>34.907027201363562</v>
      </c>
      <c r="AA92" s="58">
        <f t="shared" ca="1" si="71"/>
        <v>24.668964428222722</v>
      </c>
      <c r="AB92" s="58">
        <f t="shared" ca="1" si="71"/>
        <v>12.507803453894795</v>
      </c>
      <c r="AC92" s="58">
        <f t="shared" ca="1" si="71"/>
        <v>-1.7446190372968999</v>
      </c>
      <c r="AD92" s="91"/>
      <c r="AE92" s="26"/>
    </row>
    <row r="93" spans="1:31" x14ac:dyDescent="0.2">
      <c r="A93" s="5" t="s">
        <v>880</v>
      </c>
      <c r="B93" s="4" t="str">
        <f>$B$74</f>
        <v>Historic &amp; forecast yrs</v>
      </c>
      <c r="F93" s="7" t="str">
        <f>IF(ROUND('Fiscal Forecasts'!F$157-F$92,3)=0,"OK","ERROR")</f>
        <v>OK</v>
      </c>
      <c r="G93" s="7" t="str">
        <f>IF(ROUND('Fiscal Forecasts'!G$157-G$92,3)=0,"OK","ERROR")</f>
        <v>OK</v>
      </c>
      <c r="H93" s="7" t="str">
        <f>IF(ROUND('Fiscal Forecasts'!H$157-H$92,3)=0,"OK","ERROR")</f>
        <v>OK</v>
      </c>
      <c r="I93" s="7" t="str">
        <f>IF(ROUND('Fiscal Forecasts'!I$157-I$92,3)=0,"OK","ERROR")</f>
        <v>OK</v>
      </c>
      <c r="J93" s="7" t="str">
        <f>IF(ROUND('Fiscal Forecasts'!J$157-J$92,3)=0,"OK","ERROR")</f>
        <v>OK</v>
      </c>
      <c r="K93" s="7" t="str">
        <f>IF(ROUND('Fiscal Forecasts'!K$157-K$92,3)=0,"OK","ERROR")</f>
        <v>OK</v>
      </c>
      <c r="L93" s="7" t="str">
        <f>IF(ROUND('Fiscal Forecasts'!L$157-L$92,3)=0,"OK","ERROR")</f>
        <v>OK</v>
      </c>
      <c r="M93" s="7" t="str">
        <f>IF(ROUND('Fiscal Forecasts'!M$157-M$92,3)=0,"OK","ERROR")</f>
        <v>OK</v>
      </c>
      <c r="N93" s="7" t="str">
        <f>IF(ROUND('Fiscal Forecasts'!N$157-N$92 +IF($D$2="Yes",'Fiscal Forecast Adjuster'!E$38,0)/1000 +IF($D$3="Yes",'NZS Fund Adjuster'!N$12,0),3)=0,"OK","ERROR")</f>
        <v>OK</v>
      </c>
      <c r="O93" s="7" t="str">
        <f>IF(ROUND('Fiscal Forecasts'!O$157-O$92 +IF($D$2="Yes",'Fiscal Forecast Adjuster'!F$38,0)/1000 +IF($D$3="Yes",'NZS Fund Adjuster'!O$12,0),3)=0,"OK","ERROR")</f>
        <v>OK</v>
      </c>
      <c r="P93" s="7" t="str">
        <f>IF(ROUND('Fiscal Forecasts'!P$157-P$92 +IF($D$2="Yes",'Fiscal Forecast Adjuster'!G$38,0)/1000 +IF($D$3="Yes",'NZS Fund Adjuster'!P$12,0),3)=0,"OK","ERROR")</f>
        <v>OK</v>
      </c>
      <c r="Q93" s="7" t="str">
        <f>IF(ROUND('Fiscal Forecasts'!Q$157-Q$92 +IF($D$2="Yes",'Fiscal Forecast Adjuster'!H$38,0)/1000 +IF($D$3="Yes",'NZS Fund Adjuster'!Q$12,0),3)=0,"OK","ERROR")</f>
        <v>OK</v>
      </c>
      <c r="R93" s="7" t="str">
        <f>IF(ROUND('Fiscal Forecasts'!R$157-R$92 +IF($D$2="Yes",'Fiscal Forecast Adjuster'!I$38,0)/1000 +IF($D$3="Yes",'NZS Fund Adjuster'!R$12,0),3)=0,"OK","ERROR")</f>
        <v>OK</v>
      </c>
      <c r="S93" s="7" t="str">
        <f>IF(ROUND('Fiscal Forecasts'!S$157-S$92 +IF($D$2="Yes",'Fiscal Forecast Adjuster'!J$38,0)/1000 +IF($D$3="Yes",'NZS Fund Adjuster'!S$12,0),3)=0,"OK","ERROR")</f>
        <v>OK</v>
      </c>
      <c r="AD93" s="91"/>
      <c r="AE93" s="26"/>
    </row>
    <row r="94" spans="1:31" ht="15.75" x14ac:dyDescent="0.25">
      <c r="A94" s="1" t="s">
        <v>393</v>
      </c>
      <c r="AD94" s="91"/>
      <c r="AE94" s="26"/>
    </row>
    <row r="95" spans="1:31" x14ac:dyDescent="0.2">
      <c r="A95" s="3" t="s">
        <v>260</v>
      </c>
      <c r="B95" s="4" t="str">
        <f>$B$46</f>
        <v>From Fiscal Forecasts</v>
      </c>
      <c r="F95" s="65">
        <f>'Fiscal Forecasts'!F$69</f>
        <v>52.156999999999996</v>
      </c>
      <c r="G95" s="65">
        <f>'Fiscal Forecasts'!G$69</f>
        <v>55.167999999999999</v>
      </c>
      <c r="H95" s="65">
        <f>'Fiscal Forecasts'!H$69</f>
        <v>51.119</v>
      </c>
      <c r="I95" s="65">
        <f>'Fiscal Forecasts'!I$69</f>
        <v>50.103999999999999</v>
      </c>
      <c r="J95" s="65">
        <f>'Fiscal Forecasts'!J$69</f>
        <v>50.417999999999999</v>
      </c>
      <c r="K95" s="65">
        <f>'Fiscal Forecasts'!K$69</f>
        <v>53.582000000000001</v>
      </c>
      <c r="L95" s="65">
        <f>'Fiscal Forecasts'!L$69</f>
        <v>56.412999999999997</v>
      </c>
      <c r="M95" s="65">
        <f>'Fiscal Forecasts'!M$69</f>
        <v>59.853000000000002</v>
      </c>
      <c r="N95" s="65">
        <f>'Fiscal Forecasts'!N$69 +IF($D$2="Yes",'Fiscal Forecast Adjuster'!E$15,0)/1000</f>
        <v>64.944999999999993</v>
      </c>
      <c r="O95" s="73">
        <f>'Fiscal Forecasts'!O$69 +IF($D$2="Yes",'Fiscal Forecast Adjuster'!F$15,0)/1000</f>
        <v>66.504999999999995</v>
      </c>
      <c r="P95" s="73">
        <f>'Fiscal Forecasts'!P$69 +IF($D$2="Yes",'Fiscal Forecast Adjuster'!G$15,0)/1000</f>
        <v>68.902000000000001</v>
      </c>
      <c r="Q95" s="73">
        <f>'Fiscal Forecasts'!Q$69 +IF($D$2="Yes",'Fiscal Forecast Adjuster'!H$15,0)/1000</f>
        <v>73.12</v>
      </c>
      <c r="R95" s="73">
        <f>'Fiscal Forecasts'!R$69 +IF($D$2="Yes",'Fiscal Forecast Adjuster'!I$15,0)/1000</f>
        <v>77.89</v>
      </c>
      <c r="S95" s="73">
        <f>'Fiscal Forecasts'!S$69 +IF($D$2="Yes",'Fiscal Forecast Adjuster'!J$15,0)/1000</f>
        <v>81.855999999999995</v>
      </c>
      <c r="T95" s="26">
        <f t="shared" ref="T95:AC95" ca="1" si="72">T$456-T$363+T$141</f>
        <v>85.791997696212277</v>
      </c>
      <c r="U95" s="26">
        <f t="shared" ca="1" si="72"/>
        <v>89.75424073593237</v>
      </c>
      <c r="V95" s="26">
        <f t="shared" ca="1" si="72"/>
        <v>93.949518251235972</v>
      </c>
      <c r="W95" s="26">
        <f t="shared" ca="1" si="72"/>
        <v>98.272587120093363</v>
      </c>
      <c r="X95" s="26">
        <f t="shared" ca="1" si="72"/>
        <v>102.5906060379501</v>
      </c>
      <c r="Y95" s="26">
        <f t="shared" ca="1" si="72"/>
        <v>107.09467797436776</v>
      </c>
      <c r="Z95" s="26">
        <f t="shared" ca="1" si="72"/>
        <v>111.73064042253705</v>
      </c>
      <c r="AA95" s="26">
        <f t="shared" ca="1" si="72"/>
        <v>116.50175503379261</v>
      </c>
      <c r="AB95" s="26">
        <f t="shared" ca="1" si="72"/>
        <v>121.38959801699332</v>
      </c>
      <c r="AC95" s="26">
        <f t="shared" ca="1" si="72"/>
        <v>126.41964340573595</v>
      </c>
      <c r="AD95" s="91"/>
      <c r="AE95" s="26"/>
    </row>
    <row r="96" spans="1:31" x14ac:dyDescent="0.2">
      <c r="A96" s="3" t="s">
        <v>261</v>
      </c>
      <c r="B96" s="4" t="str">
        <f>$B$46</f>
        <v>From Fiscal Forecasts</v>
      </c>
      <c r="F96" s="65">
        <f>'Fiscal Forecasts'!F$70</f>
        <v>3.2240000000000002</v>
      </c>
      <c r="G96" s="65">
        <f>'Fiscal Forecasts'!G$70</f>
        <v>3.46</v>
      </c>
      <c r="H96" s="65">
        <f>'Fiscal Forecasts'!H$70</f>
        <v>3.7160000000000002</v>
      </c>
      <c r="I96" s="65">
        <f>'Fiscal Forecasts'!I$70</f>
        <v>4.2679999999999998</v>
      </c>
      <c r="J96" s="65">
        <f>'Fiscal Forecasts'!J$70</f>
        <v>4.6929999999999996</v>
      </c>
      <c r="K96" s="65">
        <f>'Fiscal Forecasts'!K$70</f>
        <v>4.8899999999999997</v>
      </c>
      <c r="L96" s="65">
        <f>'Fiscal Forecasts'!L$70</f>
        <v>4.806</v>
      </c>
      <c r="M96" s="65">
        <f>'Fiscal Forecasts'!M$70</f>
        <v>4.9740000000000002</v>
      </c>
      <c r="N96" s="65">
        <f>'Fiscal Forecasts'!N$70</f>
        <v>4.7309999999999999</v>
      </c>
      <c r="O96" s="73">
        <f>'Fiscal Forecasts'!O$70</f>
        <v>4.4530000000000003</v>
      </c>
      <c r="P96" s="73">
        <f>'Fiscal Forecasts'!P$70</f>
        <v>4.17</v>
      </c>
      <c r="Q96" s="73">
        <f>'Fiscal Forecasts'!Q$70</f>
        <v>4.343</v>
      </c>
      <c r="R96" s="73">
        <f>'Fiscal Forecasts'!R$70</f>
        <v>4.5220000000000002</v>
      </c>
      <c r="S96" s="73">
        <f>'Fiscal Forecasts'!S$70</f>
        <v>4.68</v>
      </c>
      <c r="T96" s="26">
        <f ca="1">IF(T$4=OFFSET(Choices!$B$10,0,$C$1),AVERAGE(Q$96/Q$153,R$96/R$153,S$96/S$153),S$96/S$153)*T$153</f>
        <v>4.88796144975794</v>
      </c>
      <c r="U96" s="26">
        <f ca="1">IF(U$4=OFFSET(Choices!$B$10,0,$C$1),AVERAGE(R$96/R$153,S$96/S$153,T$96/T$153),T$96/T$153)*U$153</f>
        <v>5.1063122156770326</v>
      </c>
      <c r="V96" s="26">
        <f ca="1">IF(V$4=OFFSET(Choices!$B$10,0,$C$1),AVERAGE(S$96/S$153,T$96/T$153,U$96/U$153),U$96/U$153)*V$153</f>
        <v>5.3412272419585163</v>
      </c>
      <c r="W96" s="26">
        <f ca="1">IF(W$4=OFFSET(Choices!$B$10,0,$C$1),AVERAGE(T$96/T$153,U$96/U$153,V$96/V$153),V$96/V$153)*W$153</f>
        <v>5.5752424726615537</v>
      </c>
      <c r="X96" s="26">
        <f ca="1">IF(X$4=OFFSET(Choices!$B$10,0,$C$1),AVERAGE(U$96/U$153,V$96/V$153,W$96/W$153),W$96/W$153)*X$153</f>
        <v>5.8212946231454854</v>
      </c>
      <c r="Y96" s="26">
        <f ca="1">IF(Y$4=OFFSET(Choices!$B$10,0,$C$1),AVERAGE(V$96/V$153,W$96/W$153,X$96/X$153),X$96/X$153)*Y$153</f>
        <v>6.0761229622822714</v>
      </c>
      <c r="Z96" s="26">
        <f ca="1">IF(Z$4=OFFSET(Choices!$B$10,0,$C$1),AVERAGE(W$96/W$153,X$96/X$153,Y$96/Y$153),Y$96/Y$153)*Z$153</f>
        <v>6.3456166688220215</v>
      </c>
      <c r="AA96" s="26">
        <f ca="1">IF(AA$4=OFFSET(Choices!$B$10,0,$C$1),AVERAGE(X$96/X$153,Y$96/Y$153,Z$96/Z$153),Z$96/Z$153)*AA$153</f>
        <v>6.6069843157494539</v>
      </c>
      <c r="AB96" s="26">
        <f ca="1">IF(AB$4=OFFSET(Choices!$B$10,0,$C$1),AVERAGE(Y$96/Y$153,Z$96/Z$153,AA$96/AA$153),AA$96/AA$153)*AB$153</f>
        <v>6.8867453146532451</v>
      </c>
      <c r="AC96" s="26">
        <f ca="1">IF(AC$4=OFFSET(Choices!$B$10,0,$C$1),AVERAGE(Z$96/Z$153,AA$96/AA$153,AB$96/AB$153),AB$96/AB$153)*AC$153</f>
        <v>7.1681653388905113</v>
      </c>
      <c r="AD96" s="91"/>
      <c r="AE96" s="26"/>
    </row>
    <row r="97" spans="1:31" x14ac:dyDescent="0.2">
      <c r="A97" s="3" t="s">
        <v>225</v>
      </c>
      <c r="B97" s="4" t="str">
        <f>$B$46</f>
        <v>From Fiscal Forecasts</v>
      </c>
      <c r="F97" s="65">
        <f>'Fiscal Forecasts'!F$71</f>
        <v>12.996</v>
      </c>
      <c r="G97" s="65">
        <f>'Fiscal Forecasts'!G$71</f>
        <v>14.635</v>
      </c>
      <c r="H97" s="65">
        <f>'Fiscal Forecasts'!H$71</f>
        <v>16.591999999999999</v>
      </c>
      <c r="I97" s="65">
        <f>'Fiscal Forecasts'!I$71</f>
        <v>14.411</v>
      </c>
      <c r="J97" s="65">
        <f>'Fiscal Forecasts'!J$71</f>
        <v>14.898999999999999</v>
      </c>
      <c r="K97" s="65">
        <f>'Fiscal Forecasts'!K$71</f>
        <v>16.812000000000001</v>
      </c>
      <c r="L97" s="65">
        <f>'Fiscal Forecasts'!L$71</f>
        <v>16.651</v>
      </c>
      <c r="M97" s="65">
        <f>'Fiscal Forecasts'!M$71</f>
        <v>16.608000000000001</v>
      </c>
      <c r="N97" s="65">
        <f>'Fiscal Forecasts'!N$71</f>
        <v>17.231999999999999</v>
      </c>
      <c r="O97" s="73">
        <f>'Fiscal Forecasts'!O$71</f>
        <v>17.219000000000001</v>
      </c>
      <c r="P97" s="73">
        <f>'Fiscal Forecasts'!P$71</f>
        <v>17.7</v>
      </c>
      <c r="Q97" s="73">
        <f>'Fiscal Forecasts'!Q$71</f>
        <v>18.395</v>
      </c>
      <c r="R97" s="73">
        <f>'Fiscal Forecasts'!R$71</f>
        <v>18.585999999999999</v>
      </c>
      <c r="S97" s="73">
        <f>'Fiscal Forecasts'!S$71</f>
        <v>18.940000000000001</v>
      </c>
      <c r="T97" s="26">
        <f ca="1">IF(T$4=OFFSET(Choices!$B$10,0,$C$1),AVERAGE((Q$97+Q$99-(Q$434-P$434))/SUM(Q$156,Q$169),(R$97+R$99-(R$434-Q$434))/SUM(R$156,R$169),(S$97+S$99-(S$434-R$434))/SUM(S$156,S$169)),(S$97+S$99-(S$434-R$434))/SUM(S$156,S$169))*SUM(T$156,T$169) +T$434-S$434 -T$99</f>
        <v>19.896348405941055</v>
      </c>
      <c r="U97" s="26">
        <f ca="1">IF(U$4=OFFSET(Choices!$B$10,0,$C$1),AVERAGE((R$97+R$99-(R$434-Q$434))/SUM(R$156,R$169),(S$97+S$99-(S$434-R$434))/SUM(S$156,S$169),(T$97+T$99-(T$434-S$434))/SUM(T$156,T$169)),(T$97+T$99-(T$434-S$434))/SUM(T$156,T$169))*SUM(U$156,U$169) +U$434-T$434 -U$99</f>
        <v>20.773421425426822</v>
      </c>
      <c r="V97" s="26">
        <f ca="1">IF(V$4=OFFSET(Choices!$B$10,0,$C$1),AVERAGE((S$97+S$99-(S$434-R$434))/SUM(S$156,S$169),(T$97+T$99-(T$434-S$434))/SUM(T$156,T$169),(U$97+U$99-(U$434-T$434))/SUM(U$156,U$169)),(U$97+U$99-(U$434-T$434))/SUM(U$156,U$169))*SUM(V$156,V$169) +V$434-U$434 -V$99</f>
        <v>21.702028574423817</v>
      </c>
      <c r="W97" s="26">
        <f ca="1">IF(W$4=OFFSET(Choices!$B$10,0,$C$1),AVERAGE((T$97+T$99-(T$434-S$434))/SUM(T$156,T$169),(U$97+U$99-(U$434-T$434))/SUM(U$156,U$169),(V$97+V$99-(V$434-U$434))/SUM(V$156,V$169)),(V$97+V$99-(V$434-U$434))/SUM(V$156,V$169))*SUM(W$156,W$169) +W$434-V$434 -W$99</f>
        <v>22.662473303435192</v>
      </c>
      <c r="X97" s="26">
        <f ca="1">IF(X$4=OFFSET(Choices!$B$10,0,$C$1),AVERAGE((U$97+U$99-(U$434-T$434))/SUM(U$156,U$169),(V$97+V$99-(V$434-U$434))/SUM(V$156,V$169),(W$97+W$99-(W$434-V$434))/SUM(W$156,W$169)),(W$97+W$99-(W$434-V$434))/SUM(W$156,W$169))*SUM(X$156,X$169) +X$434-W$434 -X$99</f>
        <v>23.662407524062726</v>
      </c>
      <c r="Y97" s="26">
        <f ca="1">IF(Y$4=OFFSET(Choices!$B$10,0,$C$1),AVERAGE((V$97+V$99-(V$434-U$434))/SUM(V$156,V$169),(W$97+W$99-(W$434-V$434))/SUM(W$156,W$169),(X$97+X$99-(X$434-W$434))/SUM(X$156,X$169)),(X$97+X$99-(X$434-W$434))/SUM(X$156,X$169))*SUM(Y$156,Y$169) +Y$434-X$434 -Y$99</f>
        <v>24.69297328228733</v>
      </c>
      <c r="Z97" s="26">
        <f ca="1">IF(Z$4=OFFSET(Choices!$B$10,0,$C$1),AVERAGE((W$97+W$99-(W$434-V$434))/SUM(W$156,W$169),(X$97+X$99-(X$434-W$434))/SUM(X$156,X$169),(Y$97+Y$99-(Y$434-X$434))/SUM(Y$156,Y$169)),(Y$97+Y$99-(Y$434-X$434))/SUM(Y$156,Y$169))*SUM(Z$156,Z$169) +Z$434-Y$434 -Z$99</f>
        <v>25.760137539549824</v>
      </c>
      <c r="AA97" s="26">
        <f ca="1">IF(AA$4=OFFSET(Choices!$B$10,0,$C$1),AVERAGE((X$97+X$99-(X$434-W$434))/SUM(X$156,X$169),(Y$97+Y$99-(Y$434-X$434))/SUM(Y$156,Y$169),(Z$97+Z$99-(Z$434-Y$434))/SUM(Z$156,Z$169)),(Z$97+Z$99-(Z$434-Y$434))/SUM(Z$156,Z$169))*SUM(AA$156,AA$169) +AA$434-Z$434 -AA$99</f>
        <v>26.858396584431535</v>
      </c>
      <c r="AB97" s="26">
        <f ca="1">IF(AB$4=OFFSET(Choices!$B$10,0,$C$1),AVERAGE((Y$97+Y$99-(Y$434-X$434))/SUM(Y$156,Y$169),(Z$97+Z$99-(Z$434-Y$434))/SUM(Z$156,Z$169),(AA$97+AA$99-(AA$434-Z$434))/SUM(AA$156,AA$169)),(AA$97+AA$99-(AA$434-Z$434))/SUM(AA$156,AA$169))*SUM(AB$156,AB$169) +AB$434-AA$434 -AB$99</f>
        <v>27.982920268786909</v>
      </c>
      <c r="AC97" s="26">
        <f ca="1">IF(AC$4=OFFSET(Choices!$B$10,0,$C$1),AVERAGE((Z$97+Z$99-(Z$434-Y$434))/SUM(Z$156,Z$169),(AA$97+AA$99-(AA$434-Z$434))/SUM(AA$156,AA$169),(AB$97+AB$99-(AB$434-AA$434))/SUM(AB$156,AB$169)),(AB$97+AB$99-(AB$434-AA$434))/SUM(AB$156,AB$169))*SUM(AC$156,AC$169) +AC$434-AB$434 -AC$99</f>
        <v>29.140774460255351</v>
      </c>
      <c r="AD97" s="91"/>
      <c r="AE97" s="26"/>
    </row>
    <row r="98" spans="1:31" x14ac:dyDescent="0.2">
      <c r="A98" s="3" t="s">
        <v>262</v>
      </c>
      <c r="B98" s="4" t="str">
        <f>$B$46</f>
        <v>From Fiscal Forecasts</v>
      </c>
      <c r="F98" s="65">
        <f>'Fiscal Forecasts'!F$72</f>
        <v>2.4910000000000001</v>
      </c>
      <c r="G98" s="65">
        <f>'Fiscal Forecasts'!G$72</f>
        <v>3.1110000000000002</v>
      </c>
      <c r="H98" s="65">
        <f>'Fiscal Forecasts'!H$72</f>
        <v>2.7919999999999998</v>
      </c>
      <c r="I98" s="65">
        <f>'Fiscal Forecasts'!I$72</f>
        <v>2.3780000000000001</v>
      </c>
      <c r="J98" s="65">
        <f>'Fiscal Forecasts'!J$72</f>
        <v>2.6819999999999999</v>
      </c>
      <c r="K98" s="65">
        <f>'Fiscal Forecasts'!K$72</f>
        <v>2.6030000000000002</v>
      </c>
      <c r="L98" s="65">
        <f>'Fiscal Forecasts'!L$72</f>
        <v>2.694</v>
      </c>
      <c r="M98" s="65">
        <f>'Fiscal Forecasts'!M$72</f>
        <v>2.9449999999999998</v>
      </c>
      <c r="N98" s="65">
        <f>'Fiscal Forecasts'!N$72</f>
        <v>3.3639999999999999</v>
      </c>
      <c r="O98" s="73">
        <f>'Fiscal Forecasts'!O$72</f>
        <v>3.5169999999999999</v>
      </c>
      <c r="P98" s="73">
        <f>'Fiscal Forecasts'!P$72</f>
        <v>3.6720000000000002</v>
      </c>
      <c r="Q98" s="73">
        <f>'Fiscal Forecasts'!Q$72</f>
        <v>4.0270000000000001</v>
      </c>
      <c r="R98" s="73">
        <f>'Fiscal Forecasts'!R$72</f>
        <v>4.3849999999999998</v>
      </c>
      <c r="S98" s="73">
        <f>'Fiscal Forecasts'!S$72</f>
        <v>4.3620000000000001</v>
      </c>
      <c r="T98" s="26">
        <f ca="1">IF(T$4=OFFSET(Choices!$B$10,0,$C$1),AVERAGE(Q$98/(Q$166-Q$392-(Q$348-P$348)),R$98/(R$166-R$392-(R$348-Q$348)),S$98/(S$166-S$392-(S$348-R$348))),S$98/(S$166-S$392-(S$348-R$348)))*(T$166-T$392-(T$348-S$348))</f>
        <v>4.320307599917931</v>
      </c>
      <c r="U98" s="26">
        <f ca="1">IF(U$4=OFFSET(Choices!$B$10,0,$C$1),AVERAGE(R$98/(R$166-R$392-(R$348-Q$348)),S$98/(S$166-S$392-(S$348-R$348)),T$98/(T$166-T$392-(T$348-S$348))),T$98/(T$166-T$392-(T$348-S$348)))*(U$166-U$392-(U$348-T$348))</f>
        <v>4.7520584256873821</v>
      </c>
      <c r="V98" s="26">
        <f ca="1">IF(V$4=OFFSET(Choices!$B$10,0,$C$1),AVERAGE(S$98/(S$166-S$392-(S$348-R$348)),T$98/(T$166-T$392-(T$348-S$348)),U$98/(U$166-U$392-(U$348-T$348))),U$98/(U$166-U$392-(U$348-T$348)))*(V$166-V$392-(V$348-U$348))</f>
        <v>4.9414921164071357</v>
      </c>
      <c r="W98" s="26">
        <f ca="1">IF(W$4=OFFSET(Choices!$B$10,0,$C$1),AVERAGE(T$98/(T$166-T$392-(T$348-S$348)),U$98/(U$166-U$392-(U$348-T$348)),V$98/(V$166-V$392-(V$348-U$348))),V$98/(V$166-V$392-(V$348-U$348)))*(W$166-W$392-(W$348-V$348))</f>
        <v>5.2456861814232694</v>
      </c>
      <c r="X98" s="26">
        <f ca="1">IF(X$4=OFFSET(Choices!$B$10,0,$C$1),AVERAGE(U$98/(U$166-U$392-(U$348-T$348)),V$98/(V$166-V$392-(V$348-U$348)),W$98/(W$166-W$392-(W$348-V$348))),W$98/(W$166-W$392-(W$348-V$348)))*(X$166-X$392-(X$348-W$348))</f>
        <v>5.5579722185265235</v>
      </c>
      <c r="Y98" s="26">
        <f ca="1">IF(Y$4=OFFSET(Choices!$B$10,0,$C$1),AVERAGE(V$98/(V$166-V$392-(V$348-U$348)),W$98/(W$166-W$392-(W$348-V$348)),X$98/(X$166-X$392-(X$348-W$348))),X$98/(X$166-X$392-(X$348-W$348)))*(Y$166-Y$392-(Y$348-X$348))</f>
        <v>5.8814975293109217</v>
      </c>
      <c r="Z98" s="26">
        <f ca="1">IF(Z$4=OFFSET(Choices!$B$10,0,$C$1),AVERAGE(W$98/(W$166-W$392-(W$348-V$348)),X$98/(X$166-X$392-(X$348-W$348)),Y$98/(Y$166-Y$392-(Y$348-X$348))),Y$98/(Y$166-Y$392-(Y$348-X$348)))*(Z$166-Z$392-(Z$348-Y$348))</f>
        <v>6.2164159102245442</v>
      </c>
      <c r="AA98" s="26">
        <f ca="1">IF(AA$4=OFFSET(Choices!$B$10,0,$C$1),AVERAGE(X$98/(X$166-X$392-(X$348-W$348)),Y$98/(Y$166-Y$392-(Y$348-X$348)),Z$98/(Z$166-Z$392-(Z$348-Y$348))),Z$98/(Z$166-Z$392-(Z$348-Y$348)))*(AA$166-AA$392-(AA$348-Z$348))</f>
        <v>6.5581609843316011</v>
      </c>
      <c r="AB98" s="26">
        <f ca="1">IF(AB$4=OFFSET(Choices!$B$10,0,$C$1),AVERAGE(Y$98/(Y$166-Y$392-(Y$348-X$348)),Z$98/(Z$166-Z$392-(Z$348-Y$348)),AA$98/(AA$166-AA$392-(AA$348-Z$348))),AA$98/(AA$166-AA$392-(AA$348-Z$348)))*(AB$166-AB$392-(AB$348-AA$348))</f>
        <v>6.9068984401418279</v>
      </c>
      <c r="AC98" s="26">
        <f ca="1">IF(AC$4=OFFSET(Choices!$B$10,0,$C$1),AVERAGE(Z$98/(Z$166-Z$392-(Z$348-Y$348)),AA$98/(AA$166-AA$392-(AA$348-Z$348)),AB$98/(AB$166-AB$392-(AB$348-AA$348))),AB$98/(AB$166-AB$392-(AB$348-AA$348)))*(AC$166-AC$392-(AC$348-AB$348))</f>
        <v>7.2604709544343295</v>
      </c>
      <c r="AD98" s="91"/>
      <c r="AE98" s="26"/>
    </row>
    <row r="99" spans="1:31" x14ac:dyDescent="0.2">
      <c r="A99" s="3" t="s">
        <v>263</v>
      </c>
      <c r="B99" s="4" t="str">
        <f>$B$46</f>
        <v>From Fiscal Forecasts</v>
      </c>
      <c r="F99" s="65">
        <f>'Fiscal Forecasts'!F$73</f>
        <v>2.222</v>
      </c>
      <c r="G99" s="65">
        <f>'Fiscal Forecasts'!G$73</f>
        <v>2.2109999999999999</v>
      </c>
      <c r="H99" s="65">
        <f>'Fiscal Forecasts'!H$73</f>
        <v>2.2040000000000002</v>
      </c>
      <c r="I99" s="65">
        <f>'Fiscal Forecasts'!I$73</f>
        <v>2.9740000000000002</v>
      </c>
      <c r="J99" s="65">
        <f>'Fiscal Forecasts'!J$73</f>
        <v>2.99</v>
      </c>
      <c r="K99" s="65">
        <f>'Fiscal Forecasts'!K$73</f>
        <v>4.3949999999999996</v>
      </c>
      <c r="L99" s="65">
        <f>'Fiscal Forecasts'!L$73</f>
        <v>5.9329999999999998</v>
      </c>
      <c r="M99" s="65">
        <f>'Fiscal Forecasts'!M$73</f>
        <v>5.7370000000000001</v>
      </c>
      <c r="N99" s="65">
        <f>'Fiscal Forecasts'!N$73</f>
        <v>3.823</v>
      </c>
      <c r="O99" s="73">
        <f>'Fiscal Forecasts'!O$73</f>
        <v>4.0010000000000003</v>
      </c>
      <c r="P99" s="73">
        <f>'Fiscal Forecasts'!P$73</f>
        <v>3.7829999999999999</v>
      </c>
      <c r="Q99" s="73">
        <f>'Fiscal Forecasts'!Q$73</f>
        <v>3.6240000000000001</v>
      </c>
      <c r="R99" s="73">
        <f>'Fiscal Forecasts'!R$73</f>
        <v>3.5529999999999999</v>
      </c>
      <c r="S99" s="73">
        <f>'Fiscal Forecasts'!S$73</f>
        <v>3.5950000000000002</v>
      </c>
      <c r="T99" s="26">
        <f ca="1">IF(T$4=OFFSET(Choices!$B$10,0,$C$1),AVERAGE(Q$99/Q$169,R$99/R$169,S$99/S$169),S$99/S$169)*T$169</f>
        <v>3.7947310891650616</v>
      </c>
      <c r="U99" s="26">
        <f ca="1">IF(U$4=OFFSET(Choices!$B$10,0,$C$1),AVERAGE(R$99/R$169,S$99/S$169,T$99/T$169),T$99/T$169)*U$169</f>
        <v>3.9629537616304411</v>
      </c>
      <c r="V99" s="26">
        <f ca="1">IF(V$4=OFFSET(Choices!$B$10,0,$C$1),AVERAGE(S$99/S$169,T$99/T$169,U$99/U$169),U$99/U$169)*V$169</f>
        <v>4.1408524127396449</v>
      </c>
      <c r="W99" s="26">
        <f ca="1">IF(W$4=OFFSET(Choices!$B$10,0,$C$1),AVERAGE(T$99/T$169,U$99/U$169,V$99/V$169),V$99/V$169)*W$169</f>
        <v>4.3253639861059003</v>
      </c>
      <c r="X99" s="26">
        <f ca="1">IF(X$4=OFFSET(Choices!$B$10,0,$C$1),AVERAGE(U$99/U$169,V$99/V$169,W$99/W$169),W$99/W$169)*X$169</f>
        <v>4.5174851860378418</v>
      </c>
      <c r="Y99" s="26">
        <f ca="1">IF(Y$4=OFFSET(Choices!$B$10,0,$C$1),AVERAGE(V$99/V$169,W$99/W$169,X$99/X$169),X$99/X$169)*Y$169</f>
        <v>4.7158179480266833</v>
      </c>
      <c r="Z99" s="26">
        <f ca="1">IF(Z$4=OFFSET(Choices!$B$10,0,$C$1),AVERAGE(W$99/W$169,X$99/X$169,Y$99/Y$169),Y$99/Y$169)*Z$169</f>
        <v>4.9199583902313559</v>
      </c>
      <c r="AA99" s="26">
        <f ca="1">IF(AA$4=OFFSET(Choices!$B$10,0,$C$1),AVERAGE(X$99/X$169,Y$99/Y$169,Z$99/Z$169),Z$99/Z$169)*AA$169</f>
        <v>5.1300501365386424</v>
      </c>
      <c r="AB99" s="26">
        <f ca="1">IF(AB$4=OFFSET(Choices!$B$10,0,$C$1),AVERAGE(Y$99/Y$169,Z$99/Z$169,AA$99/AA$169),AA$99/AA$169)*AB$169</f>
        <v>5.3452819118546016</v>
      </c>
      <c r="AC99" s="26">
        <f ca="1">IF(AC$4=OFFSET(Choices!$B$10,0,$C$1),AVERAGE(Z$99/Z$169,AA$99/AA$169,AB$99/AB$169),AB$99/AB$169)*AC$169</f>
        <v>5.5667754423669091</v>
      </c>
      <c r="AD99" s="91"/>
      <c r="AE99" s="26"/>
    </row>
    <row r="100" spans="1:31" x14ac:dyDescent="0.2">
      <c r="A100" s="31" t="s">
        <v>264</v>
      </c>
      <c r="F100" s="56">
        <f>SUM(F$95:F$99)</f>
        <v>73.089999999999989</v>
      </c>
      <c r="G100" s="56">
        <f t="shared" ref="G100:AC100" si="73">SUM(G$95:G$99)</f>
        <v>78.585000000000008</v>
      </c>
      <c r="H100" s="56">
        <f t="shared" si="73"/>
        <v>76.422999999999988</v>
      </c>
      <c r="I100" s="56">
        <f t="shared" si="73"/>
        <v>74.135000000000005</v>
      </c>
      <c r="J100" s="56">
        <f t="shared" si="73"/>
        <v>75.681999999999988</v>
      </c>
      <c r="K100" s="56">
        <f t="shared" si="73"/>
        <v>82.281999999999996</v>
      </c>
      <c r="L100" s="56">
        <f t="shared" si="73"/>
        <v>86.496999999999986</v>
      </c>
      <c r="M100" s="56">
        <f t="shared" si="73"/>
        <v>90.11699999999999</v>
      </c>
      <c r="N100" s="56">
        <f t="shared" si="73"/>
        <v>94.094999999999985</v>
      </c>
      <c r="O100" s="57">
        <f t="shared" si="73"/>
        <v>95.694999999999993</v>
      </c>
      <c r="P100" s="57">
        <f t="shared" si="73"/>
        <v>98.227000000000004</v>
      </c>
      <c r="Q100" s="57">
        <f t="shared" si="73"/>
        <v>103.509</v>
      </c>
      <c r="R100" s="57">
        <f t="shared" si="73"/>
        <v>108.93600000000001</v>
      </c>
      <c r="S100" s="57">
        <f t="shared" si="73"/>
        <v>113.43299999999999</v>
      </c>
      <c r="T100" s="58">
        <f t="shared" ca="1" si="73"/>
        <v>118.69134624099425</v>
      </c>
      <c r="U100" s="58">
        <f t="shared" ca="1" si="73"/>
        <v>124.34898656435405</v>
      </c>
      <c r="V100" s="58">
        <f t="shared" ca="1" si="73"/>
        <v>130.07511859676509</v>
      </c>
      <c r="W100" s="58">
        <f t="shared" ca="1" si="73"/>
        <v>136.08135306371929</v>
      </c>
      <c r="X100" s="58">
        <f t="shared" ca="1" si="73"/>
        <v>142.14976558972268</v>
      </c>
      <c r="Y100" s="58">
        <f t="shared" ca="1" si="73"/>
        <v>148.46108969627497</v>
      </c>
      <c r="Z100" s="58">
        <f t="shared" ca="1" si="73"/>
        <v>154.97276893136481</v>
      </c>
      <c r="AA100" s="58">
        <f t="shared" ca="1" si="73"/>
        <v>161.65534705484384</v>
      </c>
      <c r="AB100" s="58">
        <f t="shared" ca="1" si="73"/>
        <v>168.51144395242989</v>
      </c>
      <c r="AC100" s="58">
        <f t="shared" ca="1" si="73"/>
        <v>175.55582960168309</v>
      </c>
      <c r="AD100" s="91"/>
      <c r="AE100" s="26"/>
    </row>
    <row r="101" spans="1:31" x14ac:dyDescent="0.2">
      <c r="A101" s="3" t="s">
        <v>229</v>
      </c>
      <c r="B101" s="4" t="str">
        <f>$B$46</f>
        <v>From Fiscal Forecasts</v>
      </c>
      <c r="F101" s="65">
        <f>'Fiscal Forecasts'!F$75</f>
        <v>16.344000000000001</v>
      </c>
      <c r="G101" s="65">
        <f>'Fiscal Forecasts'!G$75</f>
        <v>18.026</v>
      </c>
      <c r="H101" s="65">
        <f>'Fiscal Forecasts'!H$75</f>
        <v>19.672999999999998</v>
      </c>
      <c r="I101" s="65">
        <f>'Fiscal Forecasts'!I$75</f>
        <v>21.335000000000001</v>
      </c>
      <c r="J101" s="65">
        <f>'Fiscal Forecasts'!J$75</f>
        <v>22.172000000000001</v>
      </c>
      <c r="K101" s="65">
        <f>'Fiscal Forecasts'!K$75</f>
        <v>22.84</v>
      </c>
      <c r="L101" s="65">
        <f>'Fiscal Forecasts'!L$75</f>
        <v>22.78</v>
      </c>
      <c r="M101" s="65">
        <f>'Fiscal Forecasts'!M$75</f>
        <v>23.446999999999999</v>
      </c>
      <c r="N101" s="65">
        <f>'Fiscal Forecasts'!N$75 +IF($D$2="Yes",'Fiscal Forecast Adjuster'!E$28,0)/1000</f>
        <v>23.896000000000001</v>
      </c>
      <c r="O101" s="73">
        <f>'Fiscal Forecasts'!O$75 +IF($D$2="Yes",'Fiscal Forecast Adjuster'!F$28,0)/1000</f>
        <v>24.489000000000001</v>
      </c>
      <c r="P101" s="73">
        <f>'Fiscal Forecasts'!P$75 +IF($D$2="Yes",'Fiscal Forecast Adjuster'!G$28,0)/1000</f>
        <v>25.538</v>
      </c>
      <c r="Q101" s="73">
        <f>'Fiscal Forecasts'!Q$75 +IF($D$2="Yes",'Fiscal Forecast Adjuster'!H$28,0)/1000</f>
        <v>26.420999999999999</v>
      </c>
      <c r="R101" s="73">
        <f>'Fiscal Forecasts'!R$75 +IF($D$2="Yes",'Fiscal Forecast Adjuster'!I$28,0)/1000</f>
        <v>27.186</v>
      </c>
      <c r="S101" s="73">
        <f>'Fiscal Forecasts'!S$75 +IF($D$2="Yes",'Fiscal Forecast Adjuster'!J$28,0)/1000</f>
        <v>28.65</v>
      </c>
      <c r="T101" s="26">
        <f t="shared" ref="T101:AC101" ca="1" si="74">T$187</f>
        <v>29.578119587091443</v>
      </c>
      <c r="U101" s="26">
        <f t="shared" ca="1" si="74"/>
        <v>30.950889287950449</v>
      </c>
      <c r="V101" s="26">
        <f t="shared" ca="1" si="74"/>
        <v>32.54653928453704</v>
      </c>
      <c r="W101" s="26">
        <f t="shared" ca="1" si="74"/>
        <v>34.254118644900565</v>
      </c>
      <c r="X101" s="26">
        <f t="shared" ca="1" si="74"/>
        <v>36.049640414916446</v>
      </c>
      <c r="Y101" s="26">
        <f t="shared" ca="1" si="74"/>
        <v>37.960719618396332</v>
      </c>
      <c r="Z101" s="26">
        <f t="shared" ca="1" si="74"/>
        <v>39.975302563065583</v>
      </c>
      <c r="AA101" s="26">
        <f t="shared" ca="1" si="74"/>
        <v>42.057600488981244</v>
      </c>
      <c r="AB101" s="26">
        <f t="shared" ca="1" si="74"/>
        <v>44.185218162340163</v>
      </c>
      <c r="AC101" s="26">
        <f t="shared" ca="1" si="74"/>
        <v>46.326193973471874</v>
      </c>
      <c r="AD101" s="91"/>
      <c r="AE101" s="26"/>
    </row>
    <row r="102" spans="1:31" x14ac:dyDescent="0.2">
      <c r="A102" s="3" t="s">
        <v>265</v>
      </c>
      <c r="B102" s="4" t="str">
        <f>$B$46</f>
        <v>From Fiscal Forecasts</v>
      </c>
      <c r="F102" s="65">
        <f>'Fiscal Forecasts'!F$76</f>
        <v>41.844999999999999</v>
      </c>
      <c r="G102" s="65">
        <f>'Fiscal Forecasts'!G$76</f>
        <v>45.972000000000001</v>
      </c>
      <c r="H102" s="65">
        <f>'Fiscal Forecasts'!H$76</f>
        <v>50.390999999999998</v>
      </c>
      <c r="I102" s="65">
        <f>'Fiscal Forecasts'!I$76</f>
        <v>50.767000000000003</v>
      </c>
      <c r="J102" s="65">
        <f>'Fiscal Forecasts'!J$76</f>
        <v>55.152000000000001</v>
      </c>
      <c r="K102" s="65">
        <f>'Fiscal Forecasts'!K$76</f>
        <v>59.106999999999999</v>
      </c>
      <c r="L102" s="65">
        <f>'Fiscal Forecasts'!L$76</f>
        <v>58.45</v>
      </c>
      <c r="M102" s="65">
        <f>'Fiscal Forecasts'!M$76</f>
        <v>59.890999999999998</v>
      </c>
      <c r="N102" s="65">
        <f>'Fiscal Forecasts'!N$76</f>
        <v>60.009</v>
      </c>
      <c r="O102" s="73">
        <f>'Fiscal Forecasts'!O$76</f>
        <v>62.893000000000001</v>
      </c>
      <c r="P102" s="73">
        <f>'Fiscal Forecasts'!P$76</f>
        <v>61.631999999999998</v>
      </c>
      <c r="Q102" s="73">
        <f>'Fiscal Forecasts'!Q$76</f>
        <v>61.89</v>
      </c>
      <c r="R102" s="73">
        <f>'Fiscal Forecasts'!R$76</f>
        <v>61.046999999999997</v>
      </c>
      <c r="S102" s="73">
        <f>'Fiscal Forecasts'!S$76</f>
        <v>61.649000000000001</v>
      </c>
      <c r="T102" s="26">
        <f t="shared" ref="T102:AC102" ca="1" si="75">SUM(T$206,T$220-(T$153-T$96),T$236)-T$267+SUM(T$390,T$393)+SUM(T$398-S$398,T$401-S$401)-SUM(T$431-T$428-(S$431-S$428),T$441-S$441+T$335,T$446-S$446+T$334,T$453-S$453)</f>
        <v>61.34413291257119</v>
      </c>
      <c r="U102" s="26">
        <f t="shared" ca="1" si="75"/>
        <v>62.489954900160427</v>
      </c>
      <c r="V102" s="26">
        <f t="shared" ca="1" si="75"/>
        <v>63.561952134418966</v>
      </c>
      <c r="W102" s="26">
        <f t="shared" ca="1" si="75"/>
        <v>64.79292355580678</v>
      </c>
      <c r="X102" s="26">
        <f t="shared" ca="1" si="75"/>
        <v>66.013221312624893</v>
      </c>
      <c r="Y102" s="26">
        <f t="shared" ca="1" si="75"/>
        <v>67.373028329284494</v>
      </c>
      <c r="Z102" s="26">
        <f t="shared" ca="1" si="75"/>
        <v>68.626460170689796</v>
      </c>
      <c r="AA102" s="26">
        <f t="shared" ca="1" si="75"/>
        <v>69.933214527936869</v>
      </c>
      <c r="AB102" s="26">
        <f t="shared" ca="1" si="75"/>
        <v>71.272267270046868</v>
      </c>
      <c r="AC102" s="26">
        <f t="shared" ca="1" si="75"/>
        <v>72.621347449458611</v>
      </c>
      <c r="AD102" s="91"/>
      <c r="AE102" s="26"/>
    </row>
    <row r="103" spans="1:31" x14ac:dyDescent="0.2">
      <c r="A103" s="3" t="s">
        <v>266</v>
      </c>
      <c r="B103" s="4" t="str">
        <f>$B$46</f>
        <v>From Fiscal Forecasts</v>
      </c>
      <c r="F103" s="65">
        <f>'Fiscal Forecasts'!F$77</f>
        <v>2.4409999999999998</v>
      </c>
      <c r="G103" s="65">
        <f>'Fiscal Forecasts'!G$77</f>
        <v>2.82</v>
      </c>
      <c r="H103" s="65">
        <f>'Fiscal Forecasts'!H$77</f>
        <v>2.88</v>
      </c>
      <c r="I103" s="65">
        <f>'Fiscal Forecasts'!I$77</f>
        <v>2.42</v>
      </c>
      <c r="J103" s="65">
        <f>'Fiscal Forecasts'!J$77</f>
        <v>3.1070000000000002</v>
      </c>
      <c r="K103" s="65">
        <f>'Fiscal Forecasts'!K$77</f>
        <v>3.9540000000000002</v>
      </c>
      <c r="L103" s="65">
        <f>'Fiscal Forecasts'!L$77</f>
        <v>4.3689999999999998</v>
      </c>
      <c r="M103" s="65">
        <f>'Fiscal Forecasts'!M$77</f>
        <v>4.3120000000000003</v>
      </c>
      <c r="N103" s="65">
        <f>'Fiscal Forecasts'!N$77 +IF($D$2="Yes",'Fiscal Forecast Adjuster'!E$35,0)/1000 +IF($D$3="Yes",'NZS Fund Adjuster'!N$10,0)</f>
        <v>4.5979999999999999</v>
      </c>
      <c r="O103" s="73">
        <f>'Fiscal Forecasts'!O$77 +IF($D$2="Yes",'Fiscal Forecast Adjuster'!F$35,0)/1000 +IF($D$3="Yes",'NZS Fund Adjuster'!O$10,0)</f>
        <v>4.3849999999999998</v>
      </c>
      <c r="P103" s="73">
        <f>'Fiscal Forecasts'!P$77 +IF($D$2="Yes",'Fiscal Forecast Adjuster'!G$35,0)/1000 +IF($D$3="Yes",'NZS Fund Adjuster'!P$10,0)</f>
        <v>4.6669999999999998</v>
      </c>
      <c r="Q103" s="73">
        <f>'Fiscal Forecasts'!Q$77 +IF($D$2="Yes",'Fiscal Forecast Adjuster'!H$35,0)/1000 +IF($D$3="Yes",'NZS Fund Adjuster'!Q$10,0)</f>
        <v>4.923</v>
      </c>
      <c r="R103" s="73">
        <f>'Fiscal Forecasts'!R$77 +IF($D$2="Yes",'Fiscal Forecast Adjuster'!I$35,0)/1000 +IF($D$3="Yes",'NZS Fund Adjuster'!R$10,0)</f>
        <v>5.0940000000000003</v>
      </c>
      <c r="S103" s="73">
        <f>'Fiscal Forecasts'!S$77 +IF($D$2="Yes",'Fiscal Forecast Adjuster'!J$35,0)/1000 +IF($D$3="Yes",'NZS Fund Adjuster'!S$10,0)</f>
        <v>4.6239999999999997</v>
      </c>
      <c r="T103" s="26">
        <f ca="1">IF(T$4=OFFSET(Choices!$B$10,0,$C$1),AVERAGE(Q$103/Q$227,R$103/R$227,S$103/S$227),S$103/S$227)*T$227</f>
        <v>5.1943822030522897</v>
      </c>
      <c r="U103" s="26">
        <f ca="1">IF(U$4=OFFSET(Choices!$B$10,0,$C$1),AVERAGE(R$103/R$227,S$103/S$227,T$103/T$227),T$103/T$227)*U$227</f>
        <v>5.2354297968899424</v>
      </c>
      <c r="V103" s="26">
        <f ca="1">IF(V$4=OFFSET(Choices!$B$10,0,$C$1),AVERAGE(S$103/S$227,T$103/T$227,U$103/U$227),U$103/U$227)*V$227</f>
        <v>5.2779478402344564</v>
      </c>
      <c r="W103" s="26">
        <f ca="1">IF(W$4=OFFSET(Choices!$B$10,0,$C$1),AVERAGE(T$103/T$227,U$103/U$227,V$103/V$227),V$103/V$227)*W$227</f>
        <v>5.3308254775545487</v>
      </c>
      <c r="X103" s="26">
        <f ca="1">IF(X$4=OFFSET(Choices!$B$10,0,$C$1),AVERAGE(U$103/U$227,V$103/V$227,W$103/W$227),W$103/W$227)*X$227</f>
        <v>5.3267460322727125</v>
      </c>
      <c r="Y103" s="26">
        <f ca="1">IF(Y$4=OFFSET(Choices!$B$10,0,$C$1),AVERAGE(V$103/V$227,W$103/W$227,X$103/X$227),X$103/X$227)*Y$227</f>
        <v>5.2603260263944156</v>
      </c>
      <c r="Z103" s="26">
        <f ca="1">IF(Z$4=OFFSET(Choices!$B$10,0,$C$1),AVERAGE(W$103/W$227,X$103/X$227,Y$103/Y$227),Y$103/Y$227)*Z$227</f>
        <v>5.1191199557657825</v>
      </c>
      <c r="AA103" s="26">
        <f ca="1">IF(AA$4=OFFSET(Choices!$B$10,0,$C$1),AVERAGE(X$103/X$227,Y$103/Y$227,Z$103/Z$227),Z$103/Z$227)*AA$227</f>
        <v>4.7652805342422848</v>
      </c>
      <c r="AB103" s="26">
        <f ca="1">IF(AB$4=OFFSET(Choices!$B$10,0,$C$1),AVERAGE(Y$103/Y$227,Z$103/Z$227,AA$103/AA$227),AA$103/AA$227)*AB$227</f>
        <v>4.3214640570854241</v>
      </c>
      <c r="AC103" s="26">
        <f ca="1">IF(AC$4=OFFSET(Choices!$B$10,0,$C$1),AVERAGE(Z$103/Z$227,AA$103/AA$227,AB$103/AB$227),AB$103/AB$227)*AC$227</f>
        <v>3.7828998945117402</v>
      </c>
      <c r="AD103" s="91"/>
      <c r="AE103" s="26"/>
    </row>
    <row r="104" spans="1:31" x14ac:dyDescent="0.2">
      <c r="A104" s="31" t="s">
        <v>706</v>
      </c>
      <c r="F104" s="56">
        <f t="shared" ref="F104:AC104" si="76">SUM(F$101:F$103,F$241,F$243)</f>
        <v>60.63</v>
      </c>
      <c r="G104" s="56">
        <f t="shared" si="76"/>
        <v>66.817999999999998</v>
      </c>
      <c r="H104" s="56">
        <f t="shared" si="76"/>
        <v>72.943999999999988</v>
      </c>
      <c r="I104" s="56">
        <f t="shared" si="76"/>
        <v>74.522000000000006</v>
      </c>
      <c r="J104" s="56">
        <f t="shared" si="76"/>
        <v>80.430999999999997</v>
      </c>
      <c r="K104" s="56">
        <f t="shared" si="76"/>
        <v>85.900999999999996</v>
      </c>
      <c r="L104" s="56">
        <f t="shared" si="76"/>
        <v>85.599000000000004</v>
      </c>
      <c r="M104" s="56">
        <f t="shared" si="76"/>
        <v>87.649999999999991</v>
      </c>
      <c r="N104" s="56">
        <f t="shared" si="76"/>
        <v>88.503</v>
      </c>
      <c r="O104" s="57">
        <f t="shared" si="76"/>
        <v>91.013000000000005</v>
      </c>
      <c r="P104" s="57">
        <f t="shared" si="76"/>
        <v>92.360000000000014</v>
      </c>
      <c r="Q104" s="57">
        <f t="shared" si="76"/>
        <v>96.440000000000012</v>
      </c>
      <c r="R104" s="57">
        <f t="shared" si="76"/>
        <v>98.24199999999999</v>
      </c>
      <c r="S104" s="57">
        <f t="shared" si="76"/>
        <v>101.35900000000001</v>
      </c>
      <c r="T104" s="58">
        <f t="shared" ca="1" si="76"/>
        <v>104.10363470271491</v>
      </c>
      <c r="U104" s="58">
        <f t="shared" ca="1" si="76"/>
        <v>108.24529398500081</v>
      </c>
      <c r="V104" s="58">
        <f t="shared" ca="1" si="76"/>
        <v>112.56911965919046</v>
      </c>
      <c r="W104" s="58">
        <f t="shared" ca="1" si="76"/>
        <v>117.20648168626191</v>
      </c>
      <c r="X104" s="58">
        <f t="shared" ca="1" si="76"/>
        <v>121.89707404797404</v>
      </c>
      <c r="Y104" s="58">
        <f t="shared" ca="1" si="76"/>
        <v>126.81396958799843</v>
      </c>
      <c r="Z104" s="58">
        <f t="shared" ca="1" si="76"/>
        <v>131.68745621572282</v>
      </c>
      <c r="AA104" s="58">
        <f t="shared" ca="1" si="76"/>
        <v>136.50428054788608</v>
      </c>
      <c r="AB104" s="58">
        <f t="shared" ca="1" si="76"/>
        <v>141.34437818613264</v>
      </c>
      <c r="AC104" s="58">
        <f t="shared" ca="1" si="76"/>
        <v>146.14945858803563</v>
      </c>
      <c r="AD104" s="91"/>
      <c r="AE104" s="26"/>
    </row>
    <row r="105" spans="1:31" x14ac:dyDescent="0.2">
      <c r="A105" s="31" t="s">
        <v>707</v>
      </c>
      <c r="F105" s="74">
        <f>F$100-F$104</f>
        <v>12.459999999999987</v>
      </c>
      <c r="G105" s="74">
        <f t="shared" ref="G105:AC105" si="77">G$100-G$104</f>
        <v>11.76700000000001</v>
      </c>
      <c r="H105" s="74">
        <f t="shared" si="77"/>
        <v>3.4789999999999992</v>
      </c>
      <c r="I105" s="74">
        <f t="shared" si="77"/>
        <v>-0.38700000000000045</v>
      </c>
      <c r="J105" s="74">
        <f t="shared" si="77"/>
        <v>-4.7490000000000094</v>
      </c>
      <c r="K105" s="74">
        <f t="shared" si="77"/>
        <v>-3.6189999999999998</v>
      </c>
      <c r="L105" s="74">
        <f t="shared" si="77"/>
        <v>0.89799999999998192</v>
      </c>
      <c r="M105" s="74">
        <f t="shared" si="77"/>
        <v>2.4669999999999987</v>
      </c>
      <c r="N105" s="74">
        <f t="shared" si="77"/>
        <v>5.5919999999999845</v>
      </c>
      <c r="O105" s="76">
        <f t="shared" si="77"/>
        <v>4.6819999999999879</v>
      </c>
      <c r="P105" s="76">
        <f t="shared" si="77"/>
        <v>5.8669999999999902</v>
      </c>
      <c r="Q105" s="76">
        <f t="shared" si="77"/>
        <v>7.0689999999999884</v>
      </c>
      <c r="R105" s="76">
        <f t="shared" si="77"/>
        <v>10.694000000000017</v>
      </c>
      <c r="S105" s="76">
        <f t="shared" si="77"/>
        <v>12.073999999999984</v>
      </c>
      <c r="T105" s="75">
        <f t="shared" ca="1" si="77"/>
        <v>14.587711538279336</v>
      </c>
      <c r="U105" s="75">
        <f t="shared" ca="1" si="77"/>
        <v>16.103692579353236</v>
      </c>
      <c r="V105" s="75">
        <f t="shared" ca="1" si="77"/>
        <v>17.505998937574631</v>
      </c>
      <c r="W105" s="75">
        <f t="shared" ca="1" si="77"/>
        <v>18.874871377457382</v>
      </c>
      <c r="X105" s="75">
        <f t="shared" ca="1" si="77"/>
        <v>20.252691541748632</v>
      </c>
      <c r="Y105" s="75">
        <f t="shared" ca="1" si="77"/>
        <v>21.647120108276539</v>
      </c>
      <c r="Z105" s="75">
        <f t="shared" ca="1" si="77"/>
        <v>23.285312715641993</v>
      </c>
      <c r="AA105" s="75">
        <f t="shared" ca="1" si="77"/>
        <v>25.151066506957761</v>
      </c>
      <c r="AB105" s="75">
        <f t="shared" ca="1" si="77"/>
        <v>27.167065766297242</v>
      </c>
      <c r="AC105" s="75">
        <f t="shared" ca="1" si="77"/>
        <v>29.406371013647458</v>
      </c>
      <c r="AD105" s="91"/>
      <c r="AE105" s="26"/>
    </row>
    <row r="106" spans="1:31" x14ac:dyDescent="0.2">
      <c r="A106" s="3" t="s">
        <v>708</v>
      </c>
      <c r="B106" s="4" t="str">
        <f>$B$46</f>
        <v>From Fiscal Forecasts</v>
      </c>
      <c r="F106" s="65">
        <f>'Fiscal Forecasts'!F$80</f>
        <v>-5.2139999999999995</v>
      </c>
      <c r="G106" s="65">
        <f>'Fiscal Forecasts'!G$80</f>
        <v>-4.9220000000000006</v>
      </c>
      <c r="H106" s="65">
        <f>'Fiscal Forecasts'!H$80</f>
        <v>-5.4370000000000003</v>
      </c>
      <c r="I106" s="65">
        <f>'Fiscal Forecasts'!I$80</f>
        <v>-5.8649999999999993</v>
      </c>
      <c r="J106" s="65">
        <f>'Fiscal Forecasts'!J$80</f>
        <v>-5.9960000000000004</v>
      </c>
      <c r="K106" s="65">
        <f>'Fiscal Forecasts'!K$80</f>
        <v>-5.766</v>
      </c>
      <c r="L106" s="65">
        <f>'Fiscal Forecasts'!L$80</f>
        <v>-5.1689999999999996</v>
      </c>
      <c r="M106" s="65">
        <f>'Fiscal Forecasts'!M$80</f>
        <v>-5.5030000000000001</v>
      </c>
      <c r="N106" s="65">
        <f>'Fiscal Forecasts'!N$80</f>
        <v>-6.1769999999999996</v>
      </c>
      <c r="O106" s="73">
        <f>'Fiscal Forecasts'!O$80</f>
        <v>-7.6189999999999998</v>
      </c>
      <c r="P106" s="73">
        <f>'Fiscal Forecasts'!P$80</f>
        <v>-7.4610000000000003</v>
      </c>
      <c r="Q106" s="73">
        <f>'Fiscal Forecasts'!Q$80</f>
        <v>-6.6180000000000003</v>
      </c>
      <c r="R106" s="73">
        <f>'Fiscal Forecasts'!R$80</f>
        <v>-6.5190000000000001</v>
      </c>
      <c r="S106" s="73">
        <f>'Fiscal Forecasts'!S$80</f>
        <v>-6.09</v>
      </c>
      <c r="T106" s="26">
        <f t="shared" ref="T106:AC106" ca="1" si="78">-SUM(T$407-S$407,T$413,-T$49)</f>
        <v>-5.7891116822647994</v>
      </c>
      <c r="U106" s="26">
        <f t="shared" ca="1" si="78"/>
        <v>-6.0298803400992593</v>
      </c>
      <c r="V106" s="26">
        <f t="shared" ca="1" si="78"/>
        <v>-6.4087460116945403</v>
      </c>
      <c r="W106" s="26">
        <f t="shared" ca="1" si="78"/>
        <v>-6.6690432511705824</v>
      </c>
      <c r="X106" s="26">
        <f t="shared" ca="1" si="78"/>
        <v>-6.9368759775416757</v>
      </c>
      <c r="Y106" s="26">
        <f t="shared" ca="1" si="78"/>
        <v>-7.2106047343196069</v>
      </c>
      <c r="Z106" s="26">
        <f t="shared" ca="1" si="78"/>
        <v>-7.4899156537126945</v>
      </c>
      <c r="AA106" s="26">
        <f t="shared" ca="1" si="78"/>
        <v>-7.7764428471356304</v>
      </c>
      <c r="AB106" s="26">
        <f t="shared" ca="1" si="78"/>
        <v>-8.06956979541952</v>
      </c>
      <c r="AC106" s="26">
        <f t="shared" ca="1" si="78"/>
        <v>-8.3724487452321465</v>
      </c>
      <c r="AD106" s="91"/>
      <c r="AE106" s="26"/>
    </row>
    <row r="107" spans="1:31" x14ac:dyDescent="0.2">
      <c r="A107" s="3" t="s">
        <v>709</v>
      </c>
      <c r="B107" s="4" t="str">
        <f>$B$46</f>
        <v>From Fiscal Forecasts</v>
      </c>
      <c r="F107" s="65">
        <f>'Fiscal Forecasts'!F$81</f>
        <v>-8.5410000000000004</v>
      </c>
      <c r="G107" s="65">
        <f>'Fiscal Forecasts'!G$81</f>
        <v>-6.0799999999999983</v>
      </c>
      <c r="H107" s="65">
        <f>'Fiscal Forecasts'!H$81</f>
        <v>-1.6480000000000032</v>
      </c>
      <c r="I107" s="65">
        <f>'Fiscal Forecasts'!I$81</f>
        <v>2.0919999999999987</v>
      </c>
      <c r="J107" s="65">
        <f>'Fiscal Forecasts'!J$81</f>
        <v>-6.7759999999999962</v>
      </c>
      <c r="K107" s="65">
        <f>'Fiscal Forecasts'!K$81</f>
        <v>0.42399999999999949</v>
      </c>
      <c r="L107" s="65">
        <f>'Fiscal Forecasts'!L$81</f>
        <v>6.3419999999999996</v>
      </c>
      <c r="M107" s="65">
        <f>'Fiscal Forecasts'!M$81</f>
        <v>-5.7249999999999996</v>
      </c>
      <c r="N107" s="65">
        <f>'Fiscal Forecasts'!N$81</f>
        <v>-4.9119999999999999</v>
      </c>
      <c r="O107" s="73">
        <f>'Fiscal Forecasts'!O$81</f>
        <v>2.8420000000000001</v>
      </c>
      <c r="P107" s="73">
        <f>'Fiscal Forecasts'!P$81</f>
        <v>-5.5579999999999998</v>
      </c>
      <c r="Q107" s="73">
        <f>'Fiscal Forecasts'!Q$81</f>
        <v>4.7130000000000001</v>
      </c>
      <c r="R107" s="73">
        <f>'Fiscal Forecasts'!R$81</f>
        <v>1.6619999999999999</v>
      </c>
      <c r="S107" s="73">
        <f>'Fiscal Forecasts'!S$81</f>
        <v>-3.665</v>
      </c>
      <c r="T107" s="26">
        <f t="shared" ref="T107:AC107" ca="1" si="79">-(T$359-S$359-T$331-(T$166-T$392-(T$348-S$348)-T$98))</f>
        <v>-2.2939763507779438</v>
      </c>
      <c r="U107" s="26">
        <f t="shared" ca="1" si="79"/>
        <v>-1.7680070621998962</v>
      </c>
      <c r="V107" s="26">
        <f t="shared" ca="1" si="79"/>
        <v>-4.1934339672459853</v>
      </c>
      <c r="W107" s="26">
        <f t="shared" ca="1" si="79"/>
        <v>-4.0754858360492969</v>
      </c>
      <c r="X107" s="26">
        <f t="shared" ca="1" si="79"/>
        <v>-3.9699766946073085</v>
      </c>
      <c r="Y107" s="26">
        <f t="shared" ca="1" si="79"/>
        <v>-3.8471717123794438</v>
      </c>
      <c r="Z107" s="26">
        <f t="shared" ca="1" si="79"/>
        <v>-3.628704229094688</v>
      </c>
      <c r="AA107" s="26">
        <f t="shared" ca="1" si="79"/>
        <v>-3.4144583622424758</v>
      </c>
      <c r="AB107" s="26">
        <f t="shared" ca="1" si="79"/>
        <v>-3.1994466898438896</v>
      </c>
      <c r="AC107" s="26">
        <f t="shared" ca="1" si="79"/>
        <v>-3.0186044112211432</v>
      </c>
      <c r="AD107" s="91"/>
      <c r="AE107" s="26"/>
    </row>
    <row r="108" spans="1:31" x14ac:dyDescent="0.2">
      <c r="A108" s="3" t="s">
        <v>710</v>
      </c>
      <c r="B108" s="4" t="str">
        <f>$B$46</f>
        <v>From Fiscal Forecasts</v>
      </c>
      <c r="F108" s="65">
        <f>'Fiscal Forecasts'!F$82</f>
        <v>-0.23200000000000001</v>
      </c>
      <c r="G108" s="65">
        <f>'Fiscal Forecasts'!G$82</f>
        <v>-0.31999999999999995</v>
      </c>
      <c r="H108" s="65">
        <f>'Fiscal Forecasts'!H$82</f>
        <v>-0.433</v>
      </c>
      <c r="I108" s="65">
        <f>'Fiscal Forecasts'!I$82</f>
        <v>-0.377</v>
      </c>
      <c r="J108" s="65">
        <f>'Fiscal Forecasts'!J$82</f>
        <v>-0.6</v>
      </c>
      <c r="K108" s="65">
        <f>'Fiscal Forecasts'!K$82</f>
        <v>-0.56699999999999995</v>
      </c>
      <c r="L108" s="65">
        <f>'Fiscal Forecasts'!L$82</f>
        <v>-0.58099999999999996</v>
      </c>
      <c r="M108" s="65">
        <f>'Fiscal Forecasts'!M$82</f>
        <v>-0.65800000000000003</v>
      </c>
      <c r="N108" s="65">
        <f>'Fiscal Forecasts'!N$82</f>
        <v>-0.63100000000000001</v>
      </c>
      <c r="O108" s="73">
        <f>'Fiscal Forecasts'!O$82</f>
        <v>-0.79300000000000004</v>
      </c>
      <c r="P108" s="73">
        <f>'Fiscal Forecasts'!P$82</f>
        <v>-0.68</v>
      </c>
      <c r="Q108" s="73">
        <f>'Fiscal Forecasts'!Q$82</f>
        <v>-0.498</v>
      </c>
      <c r="R108" s="73">
        <f>'Fiscal Forecasts'!R$82</f>
        <v>-0.48499999999999999</v>
      </c>
      <c r="S108" s="73">
        <f>'Fiscal Forecasts'!S$82</f>
        <v>-0.46300000000000002</v>
      </c>
      <c r="T108" s="26">
        <f t="shared" ref="T108:AC108" ca="1" si="80">-(T$422-S$422+T$213-T$413-T$336)</f>
        <v>-0.92763645995728794</v>
      </c>
      <c r="U108" s="26">
        <f t="shared" ca="1" si="80"/>
        <v>-0.94035430427940447</v>
      </c>
      <c r="V108" s="26">
        <f t="shared" ca="1" si="80"/>
        <v>-0.95470329025302014</v>
      </c>
      <c r="W108" s="26">
        <f t="shared" ca="1" si="80"/>
        <v>-0.96468225281137432</v>
      </c>
      <c r="X108" s="26">
        <f t="shared" ca="1" si="80"/>
        <v>-0.9741646671162929</v>
      </c>
      <c r="Y108" s="26">
        <f t="shared" ca="1" si="80"/>
        <v>-0.9805905922593432</v>
      </c>
      <c r="Z108" s="26">
        <f t="shared" ca="1" si="80"/>
        <v>-1.0020680513575417</v>
      </c>
      <c r="AA108" s="26">
        <f t="shared" ca="1" si="80"/>
        <v>-1.024002897313828</v>
      </c>
      <c r="AB108" s="26">
        <f t="shared" ca="1" si="80"/>
        <v>-1.0454336969586828</v>
      </c>
      <c r="AC108" s="26">
        <f t="shared" ca="1" si="80"/>
        <v>-1.0683256655413338</v>
      </c>
      <c r="AD108" s="91"/>
      <c r="AE108" s="26"/>
    </row>
    <row r="109" spans="1:31" x14ac:dyDescent="0.2">
      <c r="A109" s="3" t="s">
        <v>711</v>
      </c>
      <c r="B109" s="4" t="str">
        <f>$B$46</f>
        <v>From Fiscal Forecasts</v>
      </c>
      <c r="F109" s="65">
        <f>'Fiscal Forecasts'!F$83</f>
        <v>-0.74399999999999977</v>
      </c>
      <c r="G109" s="65">
        <f>'Fiscal Forecasts'!G$83</f>
        <v>-2.6459999999999999</v>
      </c>
      <c r="H109" s="65">
        <f>'Fiscal Forecasts'!H$83</f>
        <v>-1.129</v>
      </c>
      <c r="I109" s="65">
        <f>'Fiscal Forecasts'!I$83</f>
        <v>-0.31000000000000005</v>
      </c>
      <c r="J109" s="65">
        <f>'Fiscal Forecasts'!J$83</f>
        <v>-1.0030000000000001</v>
      </c>
      <c r="K109" s="65">
        <f>'Fiscal Forecasts'!K$83</f>
        <v>-1.284</v>
      </c>
      <c r="L109" s="65">
        <f>'Fiscal Forecasts'!L$83</f>
        <v>-1.405</v>
      </c>
      <c r="M109" s="65">
        <f>'Fiscal Forecasts'!M$83</f>
        <v>-1.5289999999999999</v>
      </c>
      <c r="N109" s="65">
        <f>'Fiscal Forecasts'!N$83</f>
        <v>-1.6859999999999999</v>
      </c>
      <c r="O109" s="73">
        <f>'Fiscal Forecasts'!O$83</f>
        <v>-1.9870000000000001</v>
      </c>
      <c r="P109" s="73">
        <f>'Fiscal Forecasts'!P$83</f>
        <v>-1.5269999999999999</v>
      </c>
      <c r="Q109" s="73">
        <f>'Fiscal Forecasts'!Q$83</f>
        <v>-1.6080000000000001</v>
      </c>
      <c r="R109" s="73">
        <f>'Fiscal Forecasts'!R$83</f>
        <v>-1.5740000000000001</v>
      </c>
      <c r="S109" s="73">
        <f>'Fiscal Forecasts'!S$83</f>
        <v>-1.571</v>
      </c>
      <c r="T109" s="26">
        <f t="shared" ref="T109:AC109" ca="1" si="81">-(T$386-S$386-SUM(T$390,T$392,T$393))</f>
        <v>-1.5025315315048102</v>
      </c>
      <c r="U109" s="26">
        <f t="shared" ca="1" si="81"/>
        <v>-1.4402591029584813</v>
      </c>
      <c r="V109" s="26">
        <f t="shared" ca="1" si="81"/>
        <v>-1.5962094528848452</v>
      </c>
      <c r="W109" s="26">
        <f t="shared" ca="1" si="81"/>
        <v>-1.6355306247082337</v>
      </c>
      <c r="X109" s="26">
        <f t="shared" ca="1" si="81"/>
        <v>-1.6805016712003678</v>
      </c>
      <c r="Y109" s="26">
        <f t="shared" ca="1" si="81"/>
        <v>-1.7166605099854426</v>
      </c>
      <c r="Z109" s="26">
        <f t="shared" ca="1" si="81"/>
        <v>-1.7755472466182498</v>
      </c>
      <c r="AA109" s="26">
        <f t="shared" ca="1" si="81"/>
        <v>-1.8290522512722087</v>
      </c>
      <c r="AB109" s="26">
        <f t="shared" ca="1" si="81"/>
        <v>-1.8744334540969227</v>
      </c>
      <c r="AC109" s="26">
        <f t="shared" ca="1" si="81"/>
        <v>-1.9252848738504387</v>
      </c>
      <c r="AD109" s="91"/>
      <c r="AE109" s="26"/>
    </row>
    <row r="110" spans="1:31" x14ac:dyDescent="0.2">
      <c r="A110" s="3" t="s">
        <v>275</v>
      </c>
      <c r="B110" s="4" t="str">
        <f>$B$46</f>
        <v>From Fiscal Forecasts</v>
      </c>
      <c r="F110" s="65">
        <f>'Fiscal Forecasts'!F$84</f>
        <v>-0.29499999999999998</v>
      </c>
      <c r="G110" s="65">
        <f>'Fiscal Forecasts'!G$84</f>
        <v>-0.36299999999999999</v>
      </c>
      <c r="H110" s="65">
        <f>'Fiscal Forecasts'!H$84</f>
        <v>-1.089</v>
      </c>
      <c r="I110" s="65">
        <f>'Fiscal Forecasts'!I$84</f>
        <v>-0.19800000000000001</v>
      </c>
      <c r="J110" s="65">
        <f>'Fiscal Forecasts'!J$84</f>
        <v>0.17299999999999999</v>
      </c>
      <c r="K110" s="65">
        <f>'Fiscal Forecasts'!K$84</f>
        <v>-0.11499999999999999</v>
      </c>
      <c r="L110" s="65">
        <f>'Fiscal Forecasts'!L$84</f>
        <v>1.827</v>
      </c>
      <c r="M110" s="65">
        <f>'Fiscal Forecasts'!M$84</f>
        <v>2.2589999999999999</v>
      </c>
      <c r="N110" s="65">
        <f>'Fiscal Forecasts'!N$84</f>
        <v>0.73199999999999998</v>
      </c>
      <c r="O110" s="73">
        <f>'Fiscal Forecasts'!O$84</f>
        <v>-1.2999999999999999E-2</v>
      </c>
      <c r="P110" s="73">
        <f>'Fiscal Forecasts'!P$84</f>
        <v>7.4999999999999997E-2</v>
      </c>
      <c r="Q110" s="73">
        <f>'Fiscal Forecasts'!Q$84</f>
        <v>6.9000000000000006E-2</v>
      </c>
      <c r="R110" s="73">
        <f>'Fiscal Forecasts'!R$84</f>
        <v>-6.0000000000000001E-3</v>
      </c>
      <c r="S110" s="73">
        <f>'Fiscal Forecasts'!S$84</f>
        <v>3.2000000000000001E-2</v>
      </c>
      <c r="T110" s="26">
        <f t="shared" ref="T110:AC110" ca="1" si="82">-(T$416-S$416-T$341)</f>
        <v>0.14700392520940181</v>
      </c>
      <c r="U110" s="26">
        <f t="shared" ca="1" si="82"/>
        <v>0.15034129209565578</v>
      </c>
      <c r="V110" s="26">
        <f t="shared" ca="1" si="82"/>
        <v>0.17336751411796458</v>
      </c>
      <c r="W110" s="26">
        <f t="shared" ca="1" si="82"/>
        <v>0.16955877960500043</v>
      </c>
      <c r="X110" s="26">
        <f t="shared" ca="1" si="82"/>
        <v>0.17133801728691056</v>
      </c>
      <c r="Y110" s="26">
        <f t="shared" ca="1" si="82"/>
        <v>0.15980680627873134</v>
      </c>
      <c r="Z110" s="26">
        <f t="shared" ca="1" si="82"/>
        <v>0.14431945412711139</v>
      </c>
      <c r="AA110" s="26">
        <f t="shared" ca="1" si="82"/>
        <v>0.12817341346372912</v>
      </c>
      <c r="AB110" s="26">
        <f t="shared" ca="1" si="82"/>
        <v>0.10391448352756605</v>
      </c>
      <c r="AC110" s="26">
        <f t="shared" ca="1" si="82"/>
        <v>8.6791133006039023E-2</v>
      </c>
      <c r="AD110" s="91"/>
      <c r="AE110" s="26"/>
    </row>
    <row r="111" spans="1:31" x14ac:dyDescent="0.2">
      <c r="A111" s="31" t="s">
        <v>712</v>
      </c>
      <c r="F111" s="56">
        <f t="shared" ref="F111:AC111" si="83">SUM(F$106:F$110)-SUM(F$323-E$323,F$324-E$324)</f>
        <v>-15.025999999999998</v>
      </c>
      <c r="G111" s="56">
        <f t="shared" si="83"/>
        <v>-14.331</v>
      </c>
      <c r="H111" s="56">
        <f t="shared" si="83"/>
        <v>-9.7360000000000042</v>
      </c>
      <c r="I111" s="56">
        <f t="shared" si="83"/>
        <v>-4.6580000000000013</v>
      </c>
      <c r="J111" s="56">
        <f t="shared" si="83"/>
        <v>-14.201999999999996</v>
      </c>
      <c r="K111" s="56">
        <f t="shared" si="83"/>
        <v>-7.3080000000000007</v>
      </c>
      <c r="L111" s="56">
        <f t="shared" si="83"/>
        <v>1.014</v>
      </c>
      <c r="M111" s="56">
        <f t="shared" si="83"/>
        <v>-11.155999999999999</v>
      </c>
      <c r="N111" s="56">
        <f t="shared" si="83"/>
        <v>-12.673999999999999</v>
      </c>
      <c r="O111" s="57">
        <f>SUM(O$106:O$110)-SUM(O$323-N$323,O$324-N$324)</f>
        <v>-7.4659999999999993</v>
      </c>
      <c r="P111" s="57">
        <f>SUM(P$106:P$110)-SUM(P$323-O$323,P$324-O$324)</f>
        <v>-15.872</v>
      </c>
      <c r="Q111" s="57">
        <f>SUM(Q$106:Q$110)-SUM(Q$323-P$323,Q$324-P$324)</f>
        <v>-4.6830000000000007</v>
      </c>
      <c r="R111" s="57">
        <f>SUM(R$106:R$110)-SUM(R$323-Q$323,R$324-Q$324)</f>
        <v>-7.6070000000000011</v>
      </c>
      <c r="S111" s="57">
        <f>SUM(S$106:S$110)-SUM(S$323-R$323,S$324-R$324)</f>
        <v>-12.619999999999997</v>
      </c>
      <c r="T111" s="58">
        <f t="shared" ca="1" si="83"/>
        <v>-11.417652099295438</v>
      </c>
      <c r="U111" s="58">
        <f t="shared" ca="1" si="83"/>
        <v>-11.059667517441387</v>
      </c>
      <c r="V111" s="58">
        <f t="shared" ca="1" si="83"/>
        <v>-13.996303367960426</v>
      </c>
      <c r="W111" s="58">
        <f t="shared" ca="1" si="83"/>
        <v>-14.164892908334487</v>
      </c>
      <c r="X111" s="58">
        <f t="shared" ca="1" si="83"/>
        <v>-14.399684910842735</v>
      </c>
      <c r="Y111" s="58">
        <f t="shared" ca="1" si="83"/>
        <v>-14.624914738682387</v>
      </c>
      <c r="Z111" s="58">
        <f t="shared" ca="1" si="83"/>
        <v>-14.802203602593689</v>
      </c>
      <c r="AA111" s="58">
        <f t="shared" ca="1" si="83"/>
        <v>-14.987076577956792</v>
      </c>
      <c r="AB111" s="58">
        <f t="shared" ca="1" si="83"/>
        <v>-15.177688658916956</v>
      </c>
      <c r="AC111" s="58">
        <f t="shared" ca="1" si="83"/>
        <v>-15.412446459087038</v>
      </c>
      <c r="AD111" s="91"/>
      <c r="AE111" s="26"/>
    </row>
    <row r="112" spans="1:31" x14ac:dyDescent="0.2">
      <c r="A112" s="3" t="s">
        <v>277</v>
      </c>
      <c r="B112" s="4" t="str">
        <f>$B$46</f>
        <v>From Fiscal Forecasts</v>
      </c>
      <c r="F112" s="65">
        <f>'Fiscal Forecasts'!F$87</f>
        <v>8.1000000000000003E-2</v>
      </c>
      <c r="G112" s="65">
        <f>'Fiscal Forecasts'!G$87</f>
        <v>8.5999999999999993E-2</v>
      </c>
      <c r="H112" s="65">
        <f>'Fiscal Forecasts'!H$87</f>
        <v>0.47499999999999998</v>
      </c>
      <c r="I112" s="65">
        <f>'Fiscal Forecasts'!I$87</f>
        <v>1.4999999999999999E-2</v>
      </c>
      <c r="J112" s="65">
        <f>'Fiscal Forecasts'!J$87</f>
        <v>0.23400000000000001</v>
      </c>
      <c r="K112" s="65">
        <f>'Fiscal Forecasts'!K$87</f>
        <v>0.20300000000000029</v>
      </c>
      <c r="L112" s="65">
        <f>'Fiscal Forecasts'!L$87</f>
        <v>0.23400000000000001</v>
      </c>
      <c r="M112" s="65">
        <f>'Fiscal Forecasts'!M$87</f>
        <v>0.27400000000000002</v>
      </c>
      <c r="N112" s="65">
        <f>'Fiscal Forecasts'!N$87</f>
        <v>0.372</v>
      </c>
      <c r="O112" s="73">
        <f>'Fiscal Forecasts'!O$87</f>
        <v>0.214</v>
      </c>
      <c r="P112" s="73">
        <f>'Fiscal Forecasts'!P$87</f>
        <v>0.16300000000000001</v>
      </c>
      <c r="Q112" s="73">
        <f>'Fiscal Forecasts'!Q$87</f>
        <v>0.17</v>
      </c>
      <c r="R112" s="73">
        <f>'Fiscal Forecasts'!R$87</f>
        <v>0.17399999999999999</v>
      </c>
      <c r="S112" s="73">
        <f>'Fiscal Forecasts'!S$87</f>
        <v>0.18</v>
      </c>
      <c r="T112" s="26">
        <f t="shared" ref="T112:AC112" ca="1" si="84">T$424-S$424</f>
        <v>0.27744583944558165</v>
      </c>
      <c r="U112" s="26">
        <f t="shared" ca="1" si="84"/>
        <v>0.28923254103590601</v>
      </c>
      <c r="V112" s="26">
        <f t="shared" ca="1" si="84"/>
        <v>0.3058688710213211</v>
      </c>
      <c r="W112" s="26">
        <f t="shared" ca="1" si="84"/>
        <v>0.31723875523519585</v>
      </c>
      <c r="X112" s="26">
        <f t="shared" ca="1" si="84"/>
        <v>0.33032231642033061</v>
      </c>
      <c r="Y112" s="26">
        <f t="shared" ca="1" si="84"/>
        <v>0.34100212462447832</v>
      </c>
      <c r="Z112" s="26">
        <f t="shared" ca="1" si="84"/>
        <v>0.35098752125224131</v>
      </c>
      <c r="AA112" s="26">
        <f t="shared" ca="1" si="84"/>
        <v>0.36121985666131273</v>
      </c>
      <c r="AB112" s="26">
        <f t="shared" ca="1" si="84"/>
        <v>0.37005733159491605</v>
      </c>
      <c r="AC112" s="26">
        <f t="shared" ca="1" si="84"/>
        <v>0.38082343904192051</v>
      </c>
      <c r="AD112" s="91"/>
      <c r="AE112" s="26"/>
    </row>
    <row r="113" spans="1:31" x14ac:dyDescent="0.2">
      <c r="A113" s="3" t="s">
        <v>714</v>
      </c>
      <c r="B113" s="4" t="str">
        <f>$B$46</f>
        <v>From Fiscal Forecasts</v>
      </c>
      <c r="F113" s="65">
        <f>SUM('Fiscal Forecasts'!F$88:F$90)</f>
        <v>3.0509999999999997</v>
      </c>
      <c r="G113" s="65">
        <f>SUM('Fiscal Forecasts'!G$88:G$90)</f>
        <v>2.101</v>
      </c>
      <c r="H113" s="65">
        <f>SUM('Fiscal Forecasts'!H$88:H$90)</f>
        <v>8.277000000000001</v>
      </c>
      <c r="I113" s="65">
        <f>SUM('Fiscal Forecasts'!I$88:I$90)</f>
        <v>6.7019999999999991</v>
      </c>
      <c r="J113" s="65">
        <f>SUM('Fiscal Forecasts'!J$88:J$90)</f>
        <v>21.362000000000002</v>
      </c>
      <c r="K113" s="65">
        <f>SUM('Fiscal Forecasts'!K$88:K$90)</f>
        <v>11.484999999999999</v>
      </c>
      <c r="L113" s="65">
        <f>SUM('Fiscal Forecasts'!L$88:L$90)</f>
        <v>1.9159999999999999</v>
      </c>
      <c r="M113" s="65">
        <f>SUM('Fiscal Forecasts'!M$88:M$90)</f>
        <v>6.13</v>
      </c>
      <c r="N113" s="65">
        <f>SUM('Fiscal Forecasts'!N$88:N$90)</f>
        <v>6.3040000000000003</v>
      </c>
      <c r="O113" s="73">
        <f>SUM('Fiscal Forecasts'!O$88:O$90)</f>
        <v>4.75</v>
      </c>
      <c r="P113" s="73">
        <f>SUM('Fiscal Forecasts'!P$88:P$90)</f>
        <v>10.295999999999999</v>
      </c>
      <c r="Q113" s="73">
        <f>SUM('Fiscal Forecasts'!Q$88:Q$90)</f>
        <v>-1.472</v>
      </c>
      <c r="R113" s="73">
        <f>SUM('Fiscal Forecasts'!R$88:R$90)</f>
        <v>-1.6180000000000001</v>
      </c>
      <c r="S113" s="73">
        <f>SUM('Fiscal Forecasts'!S$88:S$90)</f>
        <v>2.129</v>
      </c>
      <c r="T113" s="26">
        <f t="shared" ref="T113:AC113" ca="1" si="85">T$346-S$346-SUM(T$105,T$111)-SUM(T$112,T$114)</f>
        <v>-2.4744243589432426</v>
      </c>
      <c r="U113" s="26">
        <f t="shared" ca="1" si="85"/>
        <v>-3.8795869813778197</v>
      </c>
      <c r="V113" s="26">
        <f t="shared" ca="1" si="85"/>
        <v>-1.972250674436788</v>
      </c>
      <c r="W113" s="26">
        <f t="shared" ca="1" si="85"/>
        <v>-3.1386678977027715</v>
      </c>
      <c r="X113" s="26">
        <f t="shared" ca="1" si="85"/>
        <v>-4.2465086914000816</v>
      </c>
      <c r="Y113" s="26">
        <f t="shared" ca="1" si="85"/>
        <v>-5.3871356949784293</v>
      </c>
      <c r="Z113" s="26">
        <f t="shared" ca="1" si="85"/>
        <v>-6.8230912846917118</v>
      </c>
      <c r="AA113" s="26">
        <f t="shared" ca="1" si="85"/>
        <v>-8.4786609143569276</v>
      </c>
      <c r="AB113" s="26">
        <f t="shared" ca="1" si="85"/>
        <v>-10.27909982531714</v>
      </c>
      <c r="AC113" s="26">
        <f t="shared" ca="1" si="85"/>
        <v>-12.251209336444607</v>
      </c>
      <c r="AD113" s="91"/>
      <c r="AE113" s="26"/>
    </row>
    <row r="114" spans="1:31" x14ac:dyDescent="0.2">
      <c r="A114" s="3" t="s">
        <v>715</v>
      </c>
      <c r="B114" s="4" t="str">
        <f>$B$46</f>
        <v>From Fiscal Forecasts</v>
      </c>
      <c r="F114" s="65">
        <f>'Fiscal Forecasts'!F$91</f>
        <v>-3.6999999999999998E-2</v>
      </c>
      <c r="G114" s="65">
        <f>'Fiscal Forecasts'!G$91</f>
        <v>-2.5000000000000001E-2</v>
      </c>
      <c r="H114" s="65">
        <f>'Fiscal Forecasts'!H$91</f>
        <v>-1.7000000000000001E-2</v>
      </c>
      <c r="I114" s="65">
        <f>'Fiscal Forecasts'!I$91</f>
        <v>-1.2999999999999999E-2</v>
      </c>
      <c r="J114" s="65">
        <f>'Fiscal Forecasts'!J$91</f>
        <v>-1.2999999999999999E-2</v>
      </c>
      <c r="K114" s="65">
        <f>'Fiscal Forecasts'!K$91</f>
        <v>-7.0000000000000001E-3</v>
      </c>
      <c r="L114" s="65">
        <f>'Fiscal Forecasts'!L$91</f>
        <v>-0.02</v>
      </c>
      <c r="M114" s="65">
        <f>'Fiscal Forecasts'!M$91</f>
        <v>-0.16600000000000001</v>
      </c>
      <c r="N114" s="65">
        <f>'Fiscal Forecasts'!N$91</f>
        <v>-0.47799999999999998</v>
      </c>
      <c r="O114" s="73">
        <f>'Fiscal Forecasts'!O$91</f>
        <v>-0.49399999999999999</v>
      </c>
      <c r="P114" s="73">
        <f>'Fiscal Forecasts'!P$91</f>
        <v>-0.50700000000000001</v>
      </c>
      <c r="Q114" s="73">
        <f>'Fiscal Forecasts'!Q$91</f>
        <v>-0.51500000000000001</v>
      </c>
      <c r="R114" s="73">
        <f>'Fiscal Forecasts'!R$91</f>
        <v>-0.53300000000000003</v>
      </c>
      <c r="S114" s="73">
        <f>'Fiscal Forecasts'!S$91</f>
        <v>-0.55100000000000005</v>
      </c>
      <c r="T114" s="26">
        <f t="shared" ref="T114:AC114" ca="1" si="86">T$46</f>
        <v>-0.60660231948488652</v>
      </c>
      <c r="U114" s="26">
        <f t="shared" ca="1" si="86"/>
        <v>-0.61239215164725447</v>
      </c>
      <c r="V114" s="26">
        <f t="shared" ca="1" si="86"/>
        <v>-0.61919367043388529</v>
      </c>
      <c r="W114" s="26">
        <f t="shared" ca="1" si="86"/>
        <v>-0.62701619343634352</v>
      </c>
      <c r="X114" s="26">
        <f t="shared" ca="1" si="86"/>
        <v>-0.63587549496857221</v>
      </c>
      <c r="Y114" s="26">
        <f t="shared" ca="1" si="86"/>
        <v>-0.64577727719032574</v>
      </c>
      <c r="Z114" s="26">
        <f t="shared" ca="1" si="86"/>
        <v>-0.65672429372616414</v>
      </c>
      <c r="AA114" s="26">
        <f t="shared" ca="1" si="86"/>
        <v>-0.66872018076421058</v>
      </c>
      <c r="AB114" s="26">
        <f t="shared" ca="1" si="86"/>
        <v>-0.68176292619013401</v>
      </c>
      <c r="AC114" s="26">
        <f t="shared" ca="1" si="86"/>
        <v>-0.6958582268486313</v>
      </c>
      <c r="AD114" s="91"/>
      <c r="AE114" s="26"/>
    </row>
    <row r="115" spans="1:31" x14ac:dyDescent="0.2">
      <c r="A115" s="31" t="s">
        <v>716</v>
      </c>
      <c r="F115" s="56">
        <f>SUM(F$112:F$114)</f>
        <v>3.0949999999999998</v>
      </c>
      <c r="G115" s="56">
        <f t="shared" ref="G115:AC115" si="87">SUM(G$112:G$114)</f>
        <v>2.1619999999999999</v>
      </c>
      <c r="H115" s="56">
        <f t="shared" si="87"/>
        <v>8.7350000000000012</v>
      </c>
      <c r="I115" s="56">
        <f t="shared" si="87"/>
        <v>6.7039999999999988</v>
      </c>
      <c r="J115" s="56">
        <f t="shared" si="87"/>
        <v>21.583000000000002</v>
      </c>
      <c r="K115" s="56">
        <f t="shared" si="87"/>
        <v>11.680999999999999</v>
      </c>
      <c r="L115" s="56">
        <f t="shared" si="87"/>
        <v>2.13</v>
      </c>
      <c r="M115" s="56">
        <f t="shared" si="87"/>
        <v>6.2379999999999995</v>
      </c>
      <c r="N115" s="56">
        <f t="shared" si="87"/>
        <v>6.1980000000000004</v>
      </c>
      <c r="O115" s="57">
        <f t="shared" si="87"/>
        <v>4.4700000000000006</v>
      </c>
      <c r="P115" s="57">
        <f t="shared" si="87"/>
        <v>9.952</v>
      </c>
      <c r="Q115" s="57">
        <f t="shared" si="87"/>
        <v>-1.8170000000000002</v>
      </c>
      <c r="R115" s="57">
        <f t="shared" si="87"/>
        <v>-1.9770000000000003</v>
      </c>
      <c r="S115" s="57">
        <f t="shared" si="87"/>
        <v>1.758</v>
      </c>
      <c r="T115" s="58">
        <f t="shared" ca="1" si="87"/>
        <v>-2.8035808389825476</v>
      </c>
      <c r="U115" s="58">
        <f t="shared" ca="1" si="87"/>
        <v>-4.2027465919891682</v>
      </c>
      <c r="V115" s="58">
        <f t="shared" ca="1" si="87"/>
        <v>-2.2855754738493523</v>
      </c>
      <c r="W115" s="58">
        <f t="shared" ca="1" si="87"/>
        <v>-3.4484453359039193</v>
      </c>
      <c r="X115" s="58">
        <f t="shared" ca="1" si="87"/>
        <v>-4.5520618699483233</v>
      </c>
      <c r="Y115" s="58">
        <f t="shared" ca="1" si="87"/>
        <v>-5.6919108475442766</v>
      </c>
      <c r="Z115" s="58">
        <f t="shared" ca="1" si="87"/>
        <v>-7.1288280571656344</v>
      </c>
      <c r="AA115" s="58">
        <f t="shared" ca="1" si="87"/>
        <v>-8.786161238459826</v>
      </c>
      <c r="AB115" s="58">
        <f t="shared" ca="1" si="87"/>
        <v>-10.590805419912357</v>
      </c>
      <c r="AC115" s="58">
        <f t="shared" ca="1" si="87"/>
        <v>-12.566244124251318</v>
      </c>
      <c r="AD115" s="91"/>
      <c r="AE115" s="26"/>
    </row>
    <row r="116" spans="1:31" x14ac:dyDescent="0.2">
      <c r="A116" s="31" t="s">
        <v>283</v>
      </c>
      <c r="F116" s="74">
        <f>SUM(F$105,F$111,F$115)</f>
        <v>0.52899999999998837</v>
      </c>
      <c r="G116" s="74">
        <f>SUM(G$105,G$111,G$115)</f>
        <v>-0.40199999999998948</v>
      </c>
      <c r="H116" s="74">
        <f>SUM(H$105,H$111,H$115)</f>
        <v>2.4779999999999962</v>
      </c>
      <c r="I116" s="74">
        <f t="shared" ref="I116:AC116" si="88">SUM(I$105,I$111,I$115)</f>
        <v>1.6589999999999971</v>
      </c>
      <c r="J116" s="74">
        <f t="shared" si="88"/>
        <v>2.6319999999999943</v>
      </c>
      <c r="K116" s="74">
        <f t="shared" si="88"/>
        <v>0.75399999999999956</v>
      </c>
      <c r="L116" s="74">
        <f t="shared" si="88"/>
        <v>4.0419999999999821</v>
      </c>
      <c r="M116" s="74">
        <f t="shared" si="88"/>
        <v>-2.4510000000000005</v>
      </c>
      <c r="N116" s="74">
        <f t="shared" si="88"/>
        <v>-0.88400000000001455</v>
      </c>
      <c r="O116" s="76">
        <f t="shared" si="88"/>
        <v>1.6859999999999893</v>
      </c>
      <c r="P116" s="76">
        <f t="shared" si="88"/>
        <v>-5.3000000000009706E-2</v>
      </c>
      <c r="Q116" s="76">
        <f t="shared" si="88"/>
        <v>0.56899999999998752</v>
      </c>
      <c r="R116" s="76">
        <f t="shared" si="88"/>
        <v>1.1100000000000154</v>
      </c>
      <c r="S116" s="76">
        <f t="shared" si="88"/>
        <v>1.2119999999999864</v>
      </c>
      <c r="T116" s="75">
        <f t="shared" ca="1" si="88"/>
        <v>0.36647860000135069</v>
      </c>
      <c r="U116" s="75">
        <f t="shared" ca="1" si="88"/>
        <v>0.84127846992268118</v>
      </c>
      <c r="V116" s="75">
        <f t="shared" ca="1" si="88"/>
        <v>1.224120095764853</v>
      </c>
      <c r="W116" s="75">
        <f t="shared" ca="1" si="88"/>
        <v>1.2615331332189754</v>
      </c>
      <c r="X116" s="75">
        <f t="shared" ca="1" si="88"/>
        <v>1.3009447609575737</v>
      </c>
      <c r="Y116" s="75">
        <f t="shared" ca="1" si="88"/>
        <v>1.3302945220498756</v>
      </c>
      <c r="Z116" s="75">
        <f t="shared" ca="1" si="88"/>
        <v>1.3542810558826694</v>
      </c>
      <c r="AA116" s="75">
        <f t="shared" ca="1" si="88"/>
        <v>1.3778286905411434</v>
      </c>
      <c r="AB116" s="75">
        <f t="shared" ca="1" si="88"/>
        <v>1.3985716874679284</v>
      </c>
      <c r="AC116" s="75">
        <f t="shared" ca="1" si="88"/>
        <v>1.4276804303091026</v>
      </c>
      <c r="AD116" s="91"/>
      <c r="AE116" s="26"/>
    </row>
    <row r="117" spans="1:31" x14ac:dyDescent="0.2">
      <c r="A117" s="31" t="s">
        <v>717</v>
      </c>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91"/>
      <c r="AE117" s="26"/>
    </row>
    <row r="118" spans="1:31" x14ac:dyDescent="0.2">
      <c r="A118" s="31" t="s">
        <v>718</v>
      </c>
      <c r="F118" s="74">
        <f>SUM(F$105,F$49,F$331,F$337)</f>
        <v>14.522999999999987</v>
      </c>
      <c r="G118" s="74">
        <f t="shared" ref="G118:M118" si="89">SUM(G$105,G$49,G$331,G$337)</f>
        <v>8.1580000000000084</v>
      </c>
      <c r="H118" s="74">
        <f t="shared" si="89"/>
        <v>-3.3450000000000006</v>
      </c>
      <c r="I118" s="74">
        <f t="shared" si="89"/>
        <v>1.1919999999999991</v>
      </c>
      <c r="J118" s="74">
        <f t="shared" si="89"/>
        <v>4.999999999999033E-2</v>
      </c>
      <c r="K118" s="74">
        <f t="shared" si="89"/>
        <v>-9.5090000000000003</v>
      </c>
      <c r="L118" s="74">
        <f t="shared" si="89"/>
        <v>11.841999999999981</v>
      </c>
      <c r="M118" s="74">
        <f t="shared" si="89"/>
        <v>7.8479999999999981</v>
      </c>
      <c r="N118" s="74">
        <f t="shared" ref="N118:S118" si="90">SUM(N$105,N$49,N$331,N$337)</f>
        <v>9.9209999999999852</v>
      </c>
      <c r="O118" s="76">
        <f t="shared" si="90"/>
        <v>5.1149999999999887</v>
      </c>
      <c r="P118" s="76">
        <f t="shared" si="90"/>
        <v>7.9569999999999901</v>
      </c>
      <c r="Q118" s="76">
        <f t="shared" si="90"/>
        <v>9.23599999999999</v>
      </c>
      <c r="R118" s="76">
        <f t="shared" si="90"/>
        <v>13.106000000000016</v>
      </c>
      <c r="S118" s="76">
        <f t="shared" si="90"/>
        <v>14.637999999999984</v>
      </c>
      <c r="T118" s="75">
        <f t="shared" ref="T118:AC118" ca="1" si="91">SUM(T$105,T$49,T$331,T$337)</f>
        <v>17.078152847987226</v>
      </c>
      <c r="U118" s="75">
        <f t="shared" ca="1" si="91"/>
        <v>18.787990488528322</v>
      </c>
      <c r="V118" s="75">
        <f t="shared" ca="1" si="91"/>
        <v>20.448183245819688</v>
      </c>
      <c r="W118" s="75">
        <f t="shared" ca="1" si="91"/>
        <v>22.123605661162919</v>
      </c>
      <c r="X118" s="75">
        <f t="shared" ca="1" si="91"/>
        <v>23.815173659568728</v>
      </c>
      <c r="Y118" s="75">
        <f t="shared" ca="1" si="91"/>
        <v>25.529571395275415</v>
      </c>
      <c r="Z118" s="75">
        <f t="shared" ca="1" si="91"/>
        <v>27.492312003541649</v>
      </c>
      <c r="AA118" s="75">
        <f t="shared" ca="1" si="91"/>
        <v>29.685427490958958</v>
      </c>
      <c r="AB118" s="75">
        <f t="shared" ca="1" si="91"/>
        <v>32.031161971746222</v>
      </c>
      <c r="AC118" s="75">
        <f t="shared" ca="1" si="91"/>
        <v>34.603758007927013</v>
      </c>
      <c r="AD118" s="91"/>
      <c r="AE118" s="26"/>
    </row>
    <row r="119" spans="1:31" x14ac:dyDescent="0.2">
      <c r="A119" s="3" t="s">
        <v>719</v>
      </c>
      <c r="B119" s="4" t="str">
        <f>$B$46</f>
        <v>From Fiscal Forecasts</v>
      </c>
      <c r="F119" s="65">
        <f>SUM('Fiscal Forecasts'!F$98:F$99)</f>
        <v>-0.59199999999999997</v>
      </c>
      <c r="G119" s="65">
        <f>SUM('Fiscal Forecasts'!G$98:G$99)</f>
        <v>-0.34600000000000009</v>
      </c>
      <c r="H119" s="65">
        <f>SUM('Fiscal Forecasts'!H$98:H$99)</f>
        <v>-1.4809999999999999</v>
      </c>
      <c r="I119" s="65">
        <f>SUM('Fiscal Forecasts'!I$98:I$99)</f>
        <v>-0.82199999999999995</v>
      </c>
      <c r="J119" s="65">
        <f>SUM('Fiscal Forecasts'!J$98:J$99)</f>
        <v>-0.70200000000000007</v>
      </c>
      <c r="K119" s="65">
        <f>SUM('Fiscal Forecasts'!K$98:K$99)</f>
        <v>-0.60199999999999998</v>
      </c>
      <c r="L119" s="65">
        <f>SUM('Fiscal Forecasts'!L$98:L$99)</f>
        <v>-1.181</v>
      </c>
      <c r="M119" s="65">
        <f>SUM('Fiscal Forecasts'!M$98:M$99)</f>
        <v>-0.83600000000000008</v>
      </c>
      <c r="N119" s="65">
        <f>SUM('Fiscal Forecasts'!N$98:N$99)</f>
        <v>-1.0009999999999999</v>
      </c>
      <c r="O119" s="73">
        <f>SUM('Fiscal Forecasts'!O$98:O$99)</f>
        <v>-0.89500000000000002</v>
      </c>
      <c r="P119" s="73">
        <f>SUM('Fiscal Forecasts'!P$98:P$99)</f>
        <v>-0.90700000000000003</v>
      </c>
      <c r="Q119" s="73">
        <f>SUM('Fiscal Forecasts'!Q$98:Q$99)</f>
        <v>-0.91200000000000003</v>
      </c>
      <c r="R119" s="73">
        <f>SUM('Fiscal Forecasts'!R$98:R$99)</f>
        <v>-0.91900000000000004</v>
      </c>
      <c r="S119" s="73">
        <f>SUM('Fiscal Forecasts'!S$98:S$99)</f>
        <v>-0.875</v>
      </c>
      <c r="T119" s="77">
        <f t="shared" ref="T119:AC119" ca="1" si="92">SUM(T$390,T$393)</f>
        <v>-0.71599999999999997</v>
      </c>
      <c r="U119" s="77">
        <f t="shared" ca="1" si="92"/>
        <v>-0.72799999999999998</v>
      </c>
      <c r="V119" s="77">
        <f t="shared" ca="1" si="92"/>
        <v>-0.74299999999999999</v>
      </c>
      <c r="W119" s="77">
        <f t="shared" ca="1" si="92"/>
        <v>-0.75800000000000001</v>
      </c>
      <c r="X119" s="77">
        <f t="shared" ca="1" si="92"/>
        <v>-0.78300000000000003</v>
      </c>
      <c r="Y119" s="77">
        <f t="shared" ca="1" si="92"/>
        <v>-0.80400000000000005</v>
      </c>
      <c r="Z119" s="77">
        <f t="shared" ca="1" si="92"/>
        <v>-0.82900000000000007</v>
      </c>
      <c r="AA119" s="77">
        <f t="shared" ca="1" si="92"/>
        <v>-0.85400000000000009</v>
      </c>
      <c r="AB119" s="77">
        <f t="shared" ca="1" si="92"/>
        <v>-0.87600000000000011</v>
      </c>
      <c r="AC119" s="77">
        <f t="shared" ca="1" si="92"/>
        <v>-0.89900000000000013</v>
      </c>
      <c r="AD119" s="91"/>
      <c r="AE119" s="26"/>
    </row>
    <row r="120" spans="1:31" x14ac:dyDescent="0.2">
      <c r="A120" s="3" t="s">
        <v>290</v>
      </c>
      <c r="B120" s="4" t="str">
        <f>$B$46</f>
        <v>From Fiscal Forecasts</v>
      </c>
      <c r="F120" s="65">
        <f>'Fiscal Forecasts'!F$100</f>
        <v>1.2999999999999999E-2</v>
      </c>
      <c r="G120" s="65">
        <f>'Fiscal Forecasts'!G$100</f>
        <v>2E-3</v>
      </c>
      <c r="H120" s="65">
        <f>'Fiscal Forecasts'!H$100</f>
        <v>-4.1000000000000002E-2</v>
      </c>
      <c r="I120" s="65">
        <f>'Fiscal Forecasts'!I$100</f>
        <v>0.28399999999999997</v>
      </c>
      <c r="J120" s="65">
        <f>'Fiscal Forecasts'!J$100</f>
        <v>0.35799999999999998</v>
      </c>
      <c r="K120" s="65">
        <f>'Fiscal Forecasts'!K$100</f>
        <v>0.51200000000000001</v>
      </c>
      <c r="L120" s="65">
        <f>'Fiscal Forecasts'!L$100</f>
        <v>0.38500000000000001</v>
      </c>
      <c r="M120" s="65">
        <f>'Fiscal Forecasts'!M$100</f>
        <v>0.442</v>
      </c>
      <c r="N120" s="65">
        <f>'Fiscal Forecasts'!N$100</f>
        <v>0.373</v>
      </c>
      <c r="O120" s="73">
        <f>'Fiscal Forecasts'!O$100</f>
        <v>0.46300000000000002</v>
      </c>
      <c r="P120" s="73">
        <f>'Fiscal Forecasts'!P$100</f>
        <v>0.50600000000000001</v>
      </c>
      <c r="Q120" s="73">
        <f>'Fiscal Forecasts'!Q$100</f>
        <v>0.50800000000000001</v>
      </c>
      <c r="R120" s="73">
        <f>'Fiscal Forecasts'!R$100</f>
        <v>0.502</v>
      </c>
      <c r="S120" s="73">
        <f>'Fiscal Forecasts'!S$100</f>
        <v>0.49299999999999999</v>
      </c>
      <c r="T120" s="26">
        <f t="shared" ref="T120:AC120" ca="1" si="93">-(T$446-S$446+T$334)</f>
        <v>0.27324645671008696</v>
      </c>
      <c r="U120" s="26">
        <f t="shared" ca="1" si="93"/>
        <v>0.28660206809276367</v>
      </c>
      <c r="V120" s="26">
        <f t="shared" ca="1" si="93"/>
        <v>0.29137850862776915</v>
      </c>
      <c r="W120" s="26">
        <f t="shared" ca="1" si="93"/>
        <v>0.28557753238644246</v>
      </c>
      <c r="X120" s="26">
        <f t="shared" ca="1" si="93"/>
        <v>0.27826307363904501</v>
      </c>
      <c r="Y120" s="26">
        <f t="shared" ca="1" si="93"/>
        <v>0.26767717647964773</v>
      </c>
      <c r="Z120" s="26">
        <f t="shared" ca="1" si="93"/>
        <v>0.26036695792378861</v>
      </c>
      <c r="AA120" s="26">
        <f t="shared" ca="1" si="93"/>
        <v>0.25607946418852023</v>
      </c>
      <c r="AB120" s="26">
        <f t="shared" ca="1" si="93"/>
        <v>0.26212067363819447</v>
      </c>
      <c r="AC120" s="26">
        <f t="shared" ca="1" si="93"/>
        <v>0.26639968699038974</v>
      </c>
      <c r="AD120" s="91"/>
      <c r="AE120" s="26"/>
    </row>
    <row r="121" spans="1:31" x14ac:dyDescent="0.2">
      <c r="A121" s="3" t="s">
        <v>291</v>
      </c>
      <c r="B121" s="4" t="str">
        <f>$B$46</f>
        <v>From Fiscal Forecasts</v>
      </c>
      <c r="F121" s="65">
        <f>'Fiscal Forecasts'!F$101</f>
        <v>-1.0980000000000001</v>
      </c>
      <c r="G121" s="65">
        <f>'Fiscal Forecasts'!G$101</f>
        <v>-1.3580000000000001</v>
      </c>
      <c r="H121" s="65">
        <f>'Fiscal Forecasts'!H$101</f>
        <v>-1.5920000000000001</v>
      </c>
      <c r="I121" s="65">
        <f>'Fiscal Forecasts'!I$101</f>
        <v>-0.97399999999999998</v>
      </c>
      <c r="J121" s="65">
        <f>'Fiscal Forecasts'!J$101</f>
        <v>-13.179</v>
      </c>
      <c r="K121" s="65">
        <f>'Fiscal Forecasts'!K$101</f>
        <v>1.07</v>
      </c>
      <c r="L121" s="65">
        <f>'Fiscal Forecasts'!L$101</f>
        <v>1.1060000000000001</v>
      </c>
      <c r="M121" s="65">
        <f>'Fiscal Forecasts'!M$101</f>
        <v>1.409</v>
      </c>
      <c r="N121" s="65">
        <f>'Fiscal Forecasts'!N$101</f>
        <v>0.746</v>
      </c>
      <c r="O121" s="73">
        <f>'Fiscal Forecasts'!O$101</f>
        <v>0.92500000000000004</v>
      </c>
      <c r="P121" s="73">
        <f>'Fiscal Forecasts'!P$101</f>
        <v>-0.11700000000000001</v>
      </c>
      <c r="Q121" s="73">
        <f>'Fiscal Forecasts'!Q$101</f>
        <v>-0.81699999999999995</v>
      </c>
      <c r="R121" s="73">
        <f>'Fiscal Forecasts'!R$101</f>
        <v>-1.173</v>
      </c>
      <c r="S121" s="73">
        <f>'Fiscal Forecasts'!S$101</f>
        <v>-1.319</v>
      </c>
      <c r="T121" s="26">
        <f t="shared" ref="T121:AC121" ca="1" si="94">-(T$441-S$441+T$335)</f>
        <v>-1.6228423426228673</v>
      </c>
      <c r="U121" s="26">
        <f t="shared" ca="1" si="94"/>
        <v>-1.7033888364121594</v>
      </c>
      <c r="V121" s="26">
        <f t="shared" ca="1" si="94"/>
        <v>-1.7817424640185209</v>
      </c>
      <c r="W121" s="26">
        <f t="shared" ca="1" si="94"/>
        <v>-1.8474165684701589</v>
      </c>
      <c r="X121" s="26">
        <f t="shared" ca="1" si="94"/>
        <v>-1.9451317053757364</v>
      </c>
      <c r="Y121" s="26">
        <f t="shared" ca="1" si="94"/>
        <v>-1.9544834451777859</v>
      </c>
      <c r="Z121" s="26">
        <f t="shared" ca="1" si="94"/>
        <v>-2.0213150606367023</v>
      </c>
      <c r="AA121" s="26">
        <f t="shared" ca="1" si="94"/>
        <v>-2.0707762131927865</v>
      </c>
      <c r="AB121" s="26">
        <f t="shared" ca="1" si="94"/>
        <v>-2.1249990898757289</v>
      </c>
      <c r="AC121" s="26">
        <f t="shared" ca="1" si="94"/>
        <v>-2.2025586179802303</v>
      </c>
      <c r="AD121" s="91"/>
      <c r="AE121" s="26"/>
    </row>
    <row r="122" spans="1:31" x14ac:dyDescent="0.2">
      <c r="A122" s="3" t="s">
        <v>257</v>
      </c>
      <c r="B122" s="4" t="str">
        <f>$B$46</f>
        <v>From Fiscal Forecasts</v>
      </c>
      <c r="F122" s="65">
        <f>'Fiscal Forecasts'!F$102</f>
        <v>0.17899999999999999</v>
      </c>
      <c r="G122" s="65">
        <f>'Fiscal Forecasts'!G$102</f>
        <v>0.40100000000000002</v>
      </c>
      <c r="H122" s="65">
        <f>'Fiscal Forecasts'!H$102</f>
        <v>0.21199999999999999</v>
      </c>
      <c r="I122" s="65">
        <f>'Fiscal Forecasts'!I$102</f>
        <v>0.22700000000000001</v>
      </c>
      <c r="J122" s="65">
        <f>'Fiscal Forecasts'!J$102</f>
        <v>0.13700000000000001</v>
      </c>
      <c r="K122" s="65">
        <f>'Fiscal Forecasts'!K$102</f>
        <v>0.28799999999999998</v>
      </c>
      <c r="L122" s="65">
        <f>'Fiscal Forecasts'!L$102</f>
        <v>0.33100000000000002</v>
      </c>
      <c r="M122" s="65">
        <f>'Fiscal Forecasts'!M$102</f>
        <v>0.20200000000000001</v>
      </c>
      <c r="N122" s="65">
        <f>'Fiscal Forecasts'!N$102</f>
        <v>0.69899999999999995</v>
      </c>
      <c r="O122" s="73">
        <f>'Fiscal Forecasts'!O$102</f>
        <v>-0.214</v>
      </c>
      <c r="P122" s="73">
        <f>'Fiscal Forecasts'!P$102</f>
        <v>-0.23699999999999999</v>
      </c>
      <c r="Q122" s="73">
        <f>'Fiscal Forecasts'!Q$102</f>
        <v>-0.25900000000000001</v>
      </c>
      <c r="R122" s="73">
        <f>'Fiscal Forecasts'!R$102</f>
        <v>-0.254</v>
      </c>
      <c r="S122" s="73">
        <f>'Fiscal Forecasts'!S$102</f>
        <v>-0.307</v>
      </c>
      <c r="T122" s="78">
        <f t="shared" ref="T122:AC122" ca="1" si="95">T$46+T$341</f>
        <v>-0.31103353886009072</v>
      </c>
      <c r="U122" s="78">
        <f t="shared" ca="1" si="95"/>
        <v>-0.30372063224974194</v>
      </c>
      <c r="V122" s="78">
        <f t="shared" ca="1" si="95"/>
        <v>-0.29666575748762392</v>
      </c>
      <c r="W122" s="78">
        <f t="shared" ca="1" si="95"/>
        <v>-0.29011681134784417</v>
      </c>
      <c r="X122" s="78">
        <f t="shared" ca="1" si="95"/>
        <v>-0.28401193558745985</v>
      </c>
      <c r="Y122" s="78">
        <f t="shared" ca="1" si="95"/>
        <v>-0.27846572657042246</v>
      </c>
      <c r="Z122" s="78">
        <f t="shared" ca="1" si="95"/>
        <v>-0.27351239597733751</v>
      </c>
      <c r="AA122" s="78">
        <f t="shared" ca="1" si="95"/>
        <v>-0.2691443932386669</v>
      </c>
      <c r="AB122" s="78">
        <f t="shared" ca="1" si="95"/>
        <v>-0.26542289585342316</v>
      </c>
      <c r="AC122" s="78">
        <f t="shared" ca="1" si="95"/>
        <v>-0.26226623024829576</v>
      </c>
      <c r="AD122" s="91"/>
      <c r="AE122" s="26"/>
    </row>
    <row r="123" spans="1:31" x14ac:dyDescent="0.2">
      <c r="A123" s="31" t="s">
        <v>720</v>
      </c>
      <c r="F123" s="56">
        <f t="shared" ref="F123:AC123" si="96">SUM(F$119:F$122,-F$213)</f>
        <v>-4.8949999999999978</v>
      </c>
      <c r="G123" s="56">
        <f t="shared" si="96"/>
        <v>-4.9709999999999965</v>
      </c>
      <c r="H123" s="56">
        <f t="shared" si="96"/>
        <v>-7.2070000000000061</v>
      </c>
      <c r="I123" s="56">
        <f t="shared" si="96"/>
        <v>-5.5139999999999922</v>
      </c>
      <c r="J123" s="56">
        <f t="shared" si="96"/>
        <v>-18.068000000000005</v>
      </c>
      <c r="K123" s="56">
        <f t="shared" si="96"/>
        <v>-5.0819999999999999</v>
      </c>
      <c r="L123" s="56">
        <f t="shared" si="96"/>
        <v>-4.1709999999999994</v>
      </c>
      <c r="M123" s="56">
        <f t="shared" si="96"/>
        <v>-3.6550000000000002</v>
      </c>
      <c r="N123" s="56">
        <f t="shared" si="96"/>
        <v>-4.0250000000000004</v>
      </c>
      <c r="O123" s="57">
        <f t="shared" si="96"/>
        <v>-4.657</v>
      </c>
      <c r="P123" s="57">
        <f t="shared" si="96"/>
        <v>-5.8679999999999994</v>
      </c>
      <c r="Q123" s="57">
        <f t="shared" si="96"/>
        <v>-6.786999999999999</v>
      </c>
      <c r="R123" s="57">
        <f t="shared" si="96"/>
        <v>-7.2869999999999999</v>
      </c>
      <c r="S123" s="57">
        <f t="shared" si="96"/>
        <v>-7.5179999999999998</v>
      </c>
      <c r="T123" s="58">
        <f t="shared" ca="1" si="96"/>
        <v>-7.9598798050576098</v>
      </c>
      <c r="U123" s="58">
        <f t="shared" ca="1" si="96"/>
        <v>-8.1134046825127797</v>
      </c>
      <c r="V123" s="58">
        <f t="shared" ca="1" si="96"/>
        <v>-8.2822985350117122</v>
      </c>
      <c r="W123" s="58">
        <f t="shared" ca="1" si="96"/>
        <v>-8.4599959472261084</v>
      </c>
      <c r="X123" s="58">
        <f t="shared" ca="1" si="96"/>
        <v>-8.6873359323871497</v>
      </c>
      <c r="Y123" s="58">
        <f t="shared" ca="1" si="96"/>
        <v>-8.8334508956507456</v>
      </c>
      <c r="Z123" s="58">
        <f t="shared" ca="1" si="96"/>
        <v>-9.0456540145920279</v>
      </c>
      <c r="AA123" s="58">
        <f t="shared" ca="1" si="96"/>
        <v>-9.2453129543568249</v>
      </c>
      <c r="AB123" s="58">
        <f t="shared" ca="1" si="96"/>
        <v>-9.4443448123176577</v>
      </c>
      <c r="AC123" s="58">
        <f t="shared" ca="1" si="96"/>
        <v>-9.6773407407680647</v>
      </c>
      <c r="AD123" s="91"/>
      <c r="AE123" s="26"/>
    </row>
    <row r="124" spans="1:31" x14ac:dyDescent="0.2">
      <c r="A124" s="3" t="s">
        <v>293</v>
      </c>
      <c r="B124" s="4" t="str">
        <f t="shared" ref="B124:B129" si="97">$B$46</f>
        <v>From Fiscal Forecasts</v>
      </c>
      <c r="F124" s="65">
        <f>'Fiscal Forecasts'!F$104</f>
        <v>-1.591</v>
      </c>
      <c r="G124" s="65">
        <f>'Fiscal Forecasts'!G$104</f>
        <v>2.1</v>
      </c>
      <c r="H124" s="65">
        <f>'Fiscal Forecasts'!H$104</f>
        <v>0.46100000000000002</v>
      </c>
      <c r="I124" s="65">
        <f>'Fiscal Forecasts'!I$104</f>
        <v>-0.33800000000000002</v>
      </c>
      <c r="J124" s="65">
        <f>'Fiscal Forecasts'!J$104</f>
        <v>6.6050000000000004</v>
      </c>
      <c r="K124" s="65">
        <f>'Fiscal Forecasts'!K$104</f>
        <v>-0.24199999999999999</v>
      </c>
      <c r="L124" s="65">
        <f>'Fiscal Forecasts'!L$104</f>
        <v>-1.302</v>
      </c>
      <c r="M124" s="65">
        <f>'Fiscal Forecasts'!M$104</f>
        <v>-1.5529999999999999</v>
      </c>
      <c r="N124" s="65">
        <f>'Fiscal Forecasts'!N$104</f>
        <v>0.14099999999999999</v>
      </c>
      <c r="O124" s="73">
        <f>'Fiscal Forecasts'!O$104</f>
        <v>2.8000000000000001E-2</v>
      </c>
      <c r="P124" s="73">
        <f>'Fiscal Forecasts'!P$104</f>
        <v>7.6999999999999999E-2</v>
      </c>
      <c r="Q124" s="73">
        <f>'Fiscal Forecasts'!Q$104</f>
        <v>0.498</v>
      </c>
      <c r="R124" s="73">
        <f>'Fiscal Forecasts'!R$104</f>
        <v>0.66200000000000003</v>
      </c>
      <c r="S124" s="73">
        <f>'Fiscal Forecasts'!S$104</f>
        <v>0.64400000000000002</v>
      </c>
      <c r="T124" s="26">
        <f t="shared" ref="T124:AC124" ca="1" si="98">T$352-S$352-(T$428-S$428)</f>
        <v>0.28590174681122171</v>
      </c>
      <c r="U124" s="26">
        <f t="shared" ca="1" si="98"/>
        <v>0.20957113602501209</v>
      </c>
      <c r="V124" s="26">
        <f t="shared" ca="1" si="98"/>
        <v>0.38064246918609967</v>
      </c>
      <c r="W124" s="26">
        <f t="shared" ca="1" si="98"/>
        <v>0.39173620964813427</v>
      </c>
      <c r="X124" s="26">
        <f t="shared" ca="1" si="98"/>
        <v>0.40251240858198312</v>
      </c>
      <c r="Y124" s="26">
        <f t="shared" ca="1" si="98"/>
        <v>0.41082277631331277</v>
      </c>
      <c r="Z124" s="26">
        <f t="shared" ca="1" si="98"/>
        <v>0.41693718074320074</v>
      </c>
      <c r="AA124" s="26">
        <f t="shared" ca="1" si="98"/>
        <v>0.42272671458145261</v>
      </c>
      <c r="AB124" s="26">
        <f t="shared" ca="1" si="98"/>
        <v>0.42855139170069911</v>
      </c>
      <c r="AC124" s="26">
        <f t="shared" ca="1" si="98"/>
        <v>0.43672057938371367</v>
      </c>
      <c r="AD124" s="91"/>
      <c r="AE124" s="26"/>
    </row>
    <row r="125" spans="1:31" x14ac:dyDescent="0.2">
      <c r="A125" s="3" t="s">
        <v>294</v>
      </c>
      <c r="B125" s="4" t="str">
        <f t="shared" si="97"/>
        <v>From Fiscal Forecasts</v>
      </c>
      <c r="F125" s="65">
        <f>'Fiscal Forecasts'!F$105</f>
        <v>6.0999999999999999E-2</v>
      </c>
      <c r="G125" s="65">
        <f>'Fiscal Forecasts'!G$105</f>
        <v>-0.17899999999999999</v>
      </c>
      <c r="H125" s="65">
        <f>'Fiscal Forecasts'!H$105</f>
        <v>1.6E-2</v>
      </c>
      <c r="I125" s="65">
        <f>'Fiscal Forecasts'!I$105</f>
        <v>-0.42</v>
      </c>
      <c r="J125" s="65">
        <f>'Fiscal Forecasts'!J$105</f>
        <v>-0.59899999999999998</v>
      </c>
      <c r="K125" s="65">
        <f>'Fiscal Forecasts'!K$105</f>
        <v>-0.17499999999999999</v>
      </c>
      <c r="L125" s="65">
        <f>'Fiscal Forecasts'!L$105</f>
        <v>0.25700000000000001</v>
      </c>
      <c r="M125" s="65">
        <f>'Fiscal Forecasts'!M$105</f>
        <v>0.14299999999999999</v>
      </c>
      <c r="N125" s="65">
        <f>'Fiscal Forecasts'!N$105</f>
        <v>0.19600000000000001</v>
      </c>
      <c r="O125" s="73">
        <f>'Fiscal Forecasts'!O$105</f>
        <v>0.51300000000000001</v>
      </c>
      <c r="P125" s="73">
        <f>'Fiscal Forecasts'!P$105</f>
        <v>0.42799999999999999</v>
      </c>
      <c r="Q125" s="73">
        <f>'Fiscal Forecasts'!Q$105</f>
        <v>0.43099999999999999</v>
      </c>
      <c r="R125" s="73">
        <f>'Fiscal Forecasts'!R$105</f>
        <v>0.442</v>
      </c>
      <c r="S125" s="73">
        <f>'Fiscal Forecasts'!S$105</f>
        <v>0.155</v>
      </c>
      <c r="T125" s="26">
        <f t="shared" ref="T125:AC125" ca="1" si="99">T$166-(T$348-S$348)-T$98-(T$227-T$103)</f>
        <v>0.30197645489657265</v>
      </c>
      <c r="U125" s="26">
        <f t="shared" ca="1" si="99"/>
        <v>0.32260239948384317</v>
      </c>
      <c r="V125" s="26">
        <f t="shared" ca="1" si="99"/>
        <v>0.33262318692885806</v>
      </c>
      <c r="W125" s="26">
        <f t="shared" ca="1" si="99"/>
        <v>0.34558535356065878</v>
      </c>
      <c r="X125" s="26">
        <f t="shared" ca="1" si="99"/>
        <v>0.3648157776033667</v>
      </c>
      <c r="Y125" s="26">
        <f t="shared" ca="1" si="99"/>
        <v>0.38773259802598758</v>
      </c>
      <c r="Z125" s="26">
        <f t="shared" ca="1" si="99"/>
        <v>0.4162584893950676</v>
      </c>
      <c r="AA125" s="26">
        <f t="shared" ca="1" si="99"/>
        <v>0.46557434575910417</v>
      </c>
      <c r="AB125" s="26">
        <f t="shared" ca="1" si="99"/>
        <v>0.51959715785100702</v>
      </c>
      <c r="AC125" s="26">
        <f t="shared" ca="1" si="99"/>
        <v>0.58366692168861745</v>
      </c>
      <c r="AD125" s="91"/>
      <c r="AE125" s="26"/>
    </row>
    <row r="126" spans="1:31" x14ac:dyDescent="0.2">
      <c r="A126" s="3" t="s">
        <v>295</v>
      </c>
      <c r="B126" s="4" t="str">
        <f t="shared" si="97"/>
        <v>From Fiscal Forecasts</v>
      </c>
      <c r="F126" s="65">
        <f>'Fiscal Forecasts'!F$106</f>
        <v>8.3000000000000004E-2</v>
      </c>
      <c r="G126" s="65">
        <f>'Fiscal Forecasts'!G$106</f>
        <v>0.13800000000000001</v>
      </c>
      <c r="H126" s="65">
        <f>'Fiscal Forecasts'!H$106</f>
        <v>0.11799999999999999</v>
      </c>
      <c r="I126" s="65">
        <f>'Fiscal Forecasts'!I$106</f>
        <v>7.8E-2</v>
      </c>
      <c r="J126" s="65">
        <f>'Fiscal Forecasts'!J$106</f>
        <v>0.14899999999999999</v>
      </c>
      <c r="K126" s="65">
        <f>'Fiscal Forecasts'!K$106</f>
        <v>-7.3999999999999996E-2</v>
      </c>
      <c r="L126" s="65">
        <f>'Fiscal Forecasts'!L$106</f>
        <v>-9.4E-2</v>
      </c>
      <c r="M126" s="65">
        <f>'Fiscal Forecasts'!M$106</f>
        <v>-4.1000000000000002E-2</v>
      </c>
      <c r="N126" s="65">
        <f>'Fiscal Forecasts'!N$106</f>
        <v>-0.105</v>
      </c>
      <c r="O126" s="73">
        <f>'Fiscal Forecasts'!O$106</f>
        <v>-2.7E-2</v>
      </c>
      <c r="P126" s="73">
        <f>'Fiscal Forecasts'!P$106</f>
        <v>-0.10199999999999999</v>
      </c>
      <c r="Q126" s="73">
        <f>'Fiscal Forecasts'!Q$106</f>
        <v>-8.0000000000000002E-3</v>
      </c>
      <c r="R126" s="73">
        <f>'Fiscal Forecasts'!R$106</f>
        <v>-8.9999999999999993E-3</v>
      </c>
      <c r="S126" s="73">
        <f>'Fiscal Forecasts'!S$106</f>
        <v>-8.0000000000000002E-3</v>
      </c>
      <c r="T126" s="26">
        <f t="shared" ref="T126:AC126" ca="1" si="100">T$398-S$398</f>
        <v>5.3345930772860428E-2</v>
      </c>
      <c r="U126" s="26">
        <f t="shared" ca="1" si="100"/>
        <v>5.3002820853839561E-2</v>
      </c>
      <c r="V126" s="26">
        <f t="shared" ca="1" si="100"/>
        <v>5.298334952866246E-2</v>
      </c>
      <c r="W126" s="26">
        <f t="shared" ca="1" si="100"/>
        <v>5.1841935419340457E-2</v>
      </c>
      <c r="X126" s="26">
        <f t="shared" ca="1" si="100"/>
        <v>5.0509201408971638E-2</v>
      </c>
      <c r="Y126" s="26">
        <f t="shared" ca="1" si="100"/>
        <v>4.8367591796742992E-2</v>
      </c>
      <c r="Z126" s="26">
        <f t="shared" ca="1" si="100"/>
        <v>4.9783916074933376E-2</v>
      </c>
      <c r="AA126" s="26">
        <f t="shared" ca="1" si="100"/>
        <v>5.1235266041560035E-2</v>
      </c>
      <c r="AB126" s="26">
        <f t="shared" ca="1" si="100"/>
        <v>5.2488769610117725E-2</v>
      </c>
      <c r="AC126" s="26">
        <f t="shared" ca="1" si="100"/>
        <v>5.4015829568498042E-2</v>
      </c>
      <c r="AD126" s="91"/>
      <c r="AE126" s="26"/>
    </row>
    <row r="127" spans="1:31" x14ac:dyDescent="0.2">
      <c r="A127" s="3" t="s">
        <v>296</v>
      </c>
      <c r="B127" s="4" t="str">
        <f t="shared" si="97"/>
        <v>From Fiscal Forecasts</v>
      </c>
      <c r="F127" s="65">
        <f>'Fiscal Forecasts'!F$107</f>
        <v>-8.8999999999999996E-2</v>
      </c>
      <c r="G127" s="65">
        <f>'Fiscal Forecasts'!G$107</f>
        <v>7.6999999999999999E-2</v>
      </c>
      <c r="H127" s="65">
        <f>'Fiscal Forecasts'!H$107</f>
        <v>3.1E-2</v>
      </c>
      <c r="I127" s="65">
        <f>'Fiscal Forecasts'!I$107</f>
        <v>1.7999999999999999E-2</v>
      </c>
      <c r="J127" s="65">
        <f>'Fiscal Forecasts'!J$107</f>
        <v>3.9E-2</v>
      </c>
      <c r="K127" s="65">
        <f>'Fiscal Forecasts'!K$107</f>
        <v>3.2000000000000001E-2</v>
      </c>
      <c r="L127" s="65">
        <f>'Fiscal Forecasts'!L$107</f>
        <v>3.2000000000000001E-2</v>
      </c>
      <c r="M127" s="65">
        <f>'Fiscal Forecasts'!M$107</f>
        <v>3.9E-2</v>
      </c>
      <c r="N127" s="65">
        <f>'Fiscal Forecasts'!N$107</f>
        <v>-1.2E-2</v>
      </c>
      <c r="O127" s="73">
        <f>'Fiscal Forecasts'!O$107</f>
        <v>-0.05</v>
      </c>
      <c r="P127" s="73">
        <f>'Fiscal Forecasts'!P$107</f>
        <v>1E-3</v>
      </c>
      <c r="Q127" s="73">
        <f>'Fiscal Forecasts'!Q$107</f>
        <v>-0.01</v>
      </c>
      <c r="R127" s="73">
        <f>'Fiscal Forecasts'!R$107</f>
        <v>1E-3</v>
      </c>
      <c r="S127" s="73">
        <f>'Fiscal Forecasts'!S$107</f>
        <v>7.0000000000000001E-3</v>
      </c>
      <c r="T127" s="26">
        <f t="shared" ref="T127:AC127" ca="1" si="101">T$401-S$401</f>
        <v>0.11382681570364017</v>
      </c>
      <c r="U127" s="26">
        <f t="shared" ca="1" si="101"/>
        <v>0.11656760013765721</v>
      </c>
      <c r="V127" s="26">
        <f t="shared" ca="1" si="101"/>
        <v>0.12080924280410876</v>
      </c>
      <c r="W127" s="26">
        <f t="shared" ca="1" si="101"/>
        <v>0.12280245900171405</v>
      </c>
      <c r="X127" s="26">
        <f t="shared" ca="1" si="101"/>
        <v>0.12508061141700688</v>
      </c>
      <c r="Y127" s="26">
        <f t="shared" ca="1" si="101"/>
        <v>0.12609424717259321</v>
      </c>
      <c r="Z127" s="26">
        <f t="shared" ca="1" si="101"/>
        <v>0.12978660267297037</v>
      </c>
      <c r="AA127" s="26">
        <f t="shared" ca="1" si="101"/>
        <v>0.13357027009628997</v>
      </c>
      <c r="AB127" s="26">
        <f t="shared" ca="1" si="101"/>
        <v>0.1368381522242581</v>
      </c>
      <c r="AC127" s="26">
        <f t="shared" ca="1" si="101"/>
        <v>0.14081919549489541</v>
      </c>
      <c r="AD127" s="91"/>
      <c r="AE127" s="26"/>
    </row>
    <row r="128" spans="1:31" x14ac:dyDescent="0.2">
      <c r="A128" s="3" t="s">
        <v>297</v>
      </c>
      <c r="B128" s="4" t="str">
        <f t="shared" si="97"/>
        <v>From Fiscal Forecasts</v>
      </c>
      <c r="F128" s="65">
        <f>'Fiscal Forecasts'!F$108</f>
        <v>-7.2999999999999995E-2</v>
      </c>
      <c r="G128" s="65">
        <f>'Fiscal Forecasts'!G$108</f>
        <v>-0.32600000000000001</v>
      </c>
      <c r="H128" s="65">
        <f>'Fiscal Forecasts'!H$108</f>
        <v>-0.13400000000000001</v>
      </c>
      <c r="I128" s="65">
        <f>'Fiscal Forecasts'!I$108</f>
        <v>-0.20200000000000001</v>
      </c>
      <c r="J128" s="65">
        <f>'Fiscal Forecasts'!J$108</f>
        <v>-4.5999999999999999E-2</v>
      </c>
      <c r="K128" s="65">
        <f>'Fiscal Forecasts'!K$108</f>
        <v>-3.7999999999999999E-2</v>
      </c>
      <c r="L128" s="65">
        <f>'Fiscal Forecasts'!L$108</f>
        <v>-2E-3</v>
      </c>
      <c r="M128" s="65">
        <f>'Fiscal Forecasts'!M$108</f>
        <v>-0.248</v>
      </c>
      <c r="N128" s="65">
        <f>'Fiscal Forecasts'!N$108</f>
        <v>-0.14899999999999999</v>
      </c>
      <c r="O128" s="73">
        <f>'Fiscal Forecasts'!O$108</f>
        <v>-5.7000000000000002E-2</v>
      </c>
      <c r="P128" s="73">
        <f>'Fiscal Forecasts'!P$108</f>
        <v>-7.0000000000000001E-3</v>
      </c>
      <c r="Q128" s="73">
        <f>'Fiscal Forecasts'!Q$108</f>
        <v>-1.2E-2</v>
      </c>
      <c r="R128" s="73">
        <f>'Fiscal Forecasts'!R$108</f>
        <v>-1.0999999999999999E-2</v>
      </c>
      <c r="S128" s="73">
        <f>'Fiscal Forecasts'!S$108</f>
        <v>-1.4999999999999999E-2</v>
      </c>
      <c r="T128" s="26">
        <f t="shared" ref="T128:AC128" ca="1" si="102">-(T$434-S$434)</f>
        <v>-0.1272728062734787</v>
      </c>
      <c r="U128" s="26">
        <f t="shared" ca="1" si="102"/>
        <v>-0.12797101779415199</v>
      </c>
      <c r="V128" s="26">
        <f t="shared" ca="1" si="102"/>
        <v>-0.12979526697028865</v>
      </c>
      <c r="W128" s="26">
        <f t="shared" ca="1" si="102"/>
        <v>-0.12900633879155743</v>
      </c>
      <c r="X128" s="26">
        <f t="shared" ca="1" si="102"/>
        <v>-0.12806370240073583</v>
      </c>
      <c r="Y128" s="26">
        <f t="shared" ca="1" si="102"/>
        <v>-0.12539277704496365</v>
      </c>
      <c r="Z128" s="26">
        <f t="shared" ca="1" si="102"/>
        <v>-0.12906459174239293</v>
      </c>
      <c r="AA128" s="26">
        <f t="shared" ca="1" si="102"/>
        <v>-0.13282721038886525</v>
      </c>
      <c r="AB128" s="26">
        <f t="shared" ca="1" si="102"/>
        <v>-0.13607691308561654</v>
      </c>
      <c r="AC128" s="26">
        <f t="shared" ca="1" si="102"/>
        <v>-0.14003580956531136</v>
      </c>
      <c r="AD128" s="91"/>
      <c r="AE128" s="26"/>
    </row>
    <row r="129" spans="1:31" x14ac:dyDescent="0.2">
      <c r="A129" s="3" t="s">
        <v>298</v>
      </c>
      <c r="B129" s="4" t="str">
        <f t="shared" si="97"/>
        <v>From Fiscal Forecasts</v>
      </c>
      <c r="F129" s="65">
        <f>'Fiscal Forecasts'!F$109</f>
        <v>3.0000000000000001E-3</v>
      </c>
      <c r="G129" s="65">
        <f>'Fiscal Forecasts'!G$109</f>
        <v>-2.613</v>
      </c>
      <c r="H129" s="65">
        <f>'Fiscal Forecasts'!H$109</f>
        <v>-0.44500000000000001</v>
      </c>
      <c r="I129" s="65">
        <f>'Fiscal Forecasts'!I$109</f>
        <v>0.67700000000000005</v>
      </c>
      <c r="J129" s="65">
        <f>'Fiscal Forecasts'!J$109</f>
        <v>-1.49</v>
      </c>
      <c r="K129" s="65">
        <f>'Fiscal Forecasts'!K$109</f>
        <v>0.191</v>
      </c>
      <c r="L129" s="65">
        <f>'Fiscal Forecasts'!L$109</f>
        <v>0.36299999999999999</v>
      </c>
      <c r="M129" s="65">
        <f>'Fiscal Forecasts'!M$109</f>
        <v>0.40600000000000003</v>
      </c>
      <c r="N129" s="65">
        <f>'Fiscal Forecasts'!N$109</f>
        <v>-0.19600000000000001</v>
      </c>
      <c r="O129" s="73">
        <f>'Fiscal Forecasts'!O$109</f>
        <v>-0.56699999999999995</v>
      </c>
      <c r="P129" s="73">
        <f>'Fiscal Forecasts'!P$109</f>
        <v>0.23899999999999999</v>
      </c>
      <c r="Q129" s="73">
        <f>'Fiscal Forecasts'!Q$109</f>
        <v>5.5E-2</v>
      </c>
      <c r="R129" s="73">
        <f>'Fiscal Forecasts'!R$109</f>
        <v>-0.72599999999999998</v>
      </c>
      <c r="S129" s="73">
        <f>'Fiscal Forecasts'!S$109</f>
        <v>-0.111</v>
      </c>
      <c r="T129" s="26">
        <f ca="1">-(SUM(T$431-T$428,T$453)-SUM(S$431-S$428,S$453))</f>
        <v>-1.0126379233823322</v>
      </c>
      <c r="U129" s="26">
        <f t="shared" ref="U129:AC129" ca="1" si="103">-(SUM(U$431-U$428,U$453)-SUM(T$431-T$428,T$453))</f>
        <v>-0.94044709629904411</v>
      </c>
      <c r="V129" s="26">
        <f t="shared" ca="1" si="103"/>
        <v>-1.0043838000030885</v>
      </c>
      <c r="W129" s="26">
        <f t="shared" ca="1" si="103"/>
        <v>-0.96906410876442806</v>
      </c>
      <c r="X129" s="26">
        <f t="shared" ca="1" si="103"/>
        <v>-0.9269724443377676</v>
      </c>
      <c r="Y129" s="26">
        <f t="shared" ca="1" si="103"/>
        <v>-0.86792117422629644</v>
      </c>
      <c r="Z129" s="26">
        <f t="shared" ca="1" si="103"/>
        <v>-0.89052557049344827</v>
      </c>
      <c r="AA129" s="26">
        <f t="shared" ca="1" si="103"/>
        <v>-0.91342088624112705</v>
      </c>
      <c r="AB129" s="26">
        <f t="shared" ca="1" si="103"/>
        <v>-0.93343267367419358</v>
      </c>
      <c r="AC129" s="26">
        <f t="shared" ca="1" si="103"/>
        <v>-0.95850349084749809</v>
      </c>
      <c r="AD129" s="91"/>
      <c r="AE129" s="26"/>
    </row>
    <row r="130" spans="1:31" x14ac:dyDescent="0.2">
      <c r="A130" s="31" t="s">
        <v>299</v>
      </c>
      <c r="F130" s="56">
        <f>SUM(F$124:F$129)</f>
        <v>-1.6060000000000001</v>
      </c>
      <c r="G130" s="56">
        <f t="shared" ref="G130:AC130" si="104">SUM(G$124:G$129)</f>
        <v>-0.80299999999999994</v>
      </c>
      <c r="H130" s="56">
        <f t="shared" si="104"/>
        <v>4.6999999999999986E-2</v>
      </c>
      <c r="I130" s="56">
        <f t="shared" si="104"/>
        <v>-0.18700000000000006</v>
      </c>
      <c r="J130" s="56">
        <f t="shared" si="104"/>
        <v>4.6579999999999995</v>
      </c>
      <c r="K130" s="56">
        <f t="shared" si="104"/>
        <v>-0.30599999999999994</v>
      </c>
      <c r="L130" s="56">
        <f t="shared" si="104"/>
        <v>-0.746</v>
      </c>
      <c r="M130" s="56">
        <f t="shared" si="104"/>
        <v>-1.254</v>
      </c>
      <c r="N130" s="56">
        <f t="shared" si="104"/>
        <v>-0.12500000000000003</v>
      </c>
      <c r="O130" s="57">
        <f t="shared" si="104"/>
        <v>-0.15999999999999992</v>
      </c>
      <c r="P130" s="57">
        <f t="shared" si="104"/>
        <v>0.63600000000000001</v>
      </c>
      <c r="Q130" s="57">
        <f t="shared" si="104"/>
        <v>0.95400000000000007</v>
      </c>
      <c r="R130" s="57">
        <f t="shared" si="104"/>
        <v>0.35900000000000021</v>
      </c>
      <c r="S130" s="57">
        <f t="shared" si="104"/>
        <v>0.67200000000000004</v>
      </c>
      <c r="T130" s="58">
        <f t="shared" ca="1" si="104"/>
        <v>-0.38485978147151589</v>
      </c>
      <c r="U130" s="58">
        <f t="shared" ca="1" si="104"/>
        <v>-0.36667415759284405</v>
      </c>
      <c r="V130" s="58">
        <f t="shared" ca="1" si="104"/>
        <v>-0.24712081852564816</v>
      </c>
      <c r="W130" s="58">
        <f t="shared" ca="1" si="104"/>
        <v>-0.18610448992613793</v>
      </c>
      <c r="X130" s="58">
        <f t="shared" ca="1" si="104"/>
        <v>-0.1121181477271751</v>
      </c>
      <c r="Y130" s="58">
        <f t="shared" ca="1" si="104"/>
        <v>-2.0296737962623546E-2</v>
      </c>
      <c r="Z130" s="58">
        <f t="shared" ca="1" si="104"/>
        <v>-6.8239733496691102E-3</v>
      </c>
      <c r="AA130" s="58">
        <f t="shared" ca="1" si="104"/>
        <v>2.6858499848414485E-2</v>
      </c>
      <c r="AB130" s="58">
        <f t="shared" ca="1" si="104"/>
        <v>6.7965884626271844E-2</v>
      </c>
      <c r="AC130" s="58">
        <f t="shared" ca="1" si="104"/>
        <v>0.11668322572291512</v>
      </c>
      <c r="AD130" s="91"/>
      <c r="AE130" s="26"/>
    </row>
    <row r="131" spans="1:31" x14ac:dyDescent="0.2">
      <c r="A131" s="2" t="s">
        <v>721</v>
      </c>
      <c r="F131" s="7" t="str">
        <f t="shared" ref="F131:AC131" si="105">IF(ROUND(F$52-SUM(F$118,F$123,F$130),3)=0,"OK","ERROR")</f>
        <v>OK</v>
      </c>
      <c r="G131" s="7" t="str">
        <f t="shared" si="105"/>
        <v>OK</v>
      </c>
      <c r="H131" s="7" t="str">
        <f t="shared" si="105"/>
        <v>OK</v>
      </c>
      <c r="I131" s="7" t="str">
        <f t="shared" si="105"/>
        <v>OK</v>
      </c>
      <c r="J131" s="7" t="str">
        <f t="shared" si="105"/>
        <v>OK</v>
      </c>
      <c r="K131" s="7" t="str">
        <f t="shared" si="105"/>
        <v>OK</v>
      </c>
      <c r="L131" s="7" t="str">
        <f t="shared" si="105"/>
        <v>OK</v>
      </c>
      <c r="M131" s="7" t="str">
        <f t="shared" si="105"/>
        <v>OK</v>
      </c>
      <c r="N131" s="7" t="str">
        <f t="shared" si="105"/>
        <v>OK</v>
      </c>
      <c r="O131" s="7" t="str">
        <f t="shared" si="105"/>
        <v>OK</v>
      </c>
      <c r="P131" s="7" t="str">
        <f t="shared" si="105"/>
        <v>OK</v>
      </c>
      <c r="Q131" s="7" t="str">
        <f t="shared" si="105"/>
        <v>OK</v>
      </c>
      <c r="R131" s="7" t="str">
        <f t="shared" si="105"/>
        <v>OK</v>
      </c>
      <c r="S131" s="7" t="str">
        <f t="shared" si="105"/>
        <v>OK</v>
      </c>
      <c r="T131" s="7" t="str">
        <f t="shared" ca="1" si="105"/>
        <v>OK</v>
      </c>
      <c r="U131" s="7" t="str">
        <f t="shared" ca="1" si="105"/>
        <v>OK</v>
      </c>
      <c r="V131" s="7" t="str">
        <f t="shared" ca="1" si="105"/>
        <v>OK</v>
      </c>
      <c r="W131" s="7" t="str">
        <f t="shared" ca="1" si="105"/>
        <v>OK</v>
      </c>
      <c r="X131" s="7" t="str">
        <f t="shared" ca="1" si="105"/>
        <v>OK</v>
      </c>
      <c r="Y131" s="7" t="str">
        <f t="shared" ca="1" si="105"/>
        <v>OK</v>
      </c>
      <c r="Z131" s="7" t="str">
        <f t="shared" ca="1" si="105"/>
        <v>OK</v>
      </c>
      <c r="AA131" s="7" t="str">
        <f t="shared" ca="1" si="105"/>
        <v>OK</v>
      </c>
      <c r="AB131" s="7" t="str">
        <f t="shared" ca="1" si="105"/>
        <v>OK</v>
      </c>
      <c r="AC131" s="7" t="str">
        <f t="shared" ca="1" si="105"/>
        <v>OK</v>
      </c>
      <c r="AD131" s="26"/>
      <c r="AE131" s="26"/>
    </row>
    <row r="132" spans="1:31" x14ac:dyDescent="0.2">
      <c r="AD132" s="26"/>
      <c r="AE132" s="26"/>
    </row>
    <row r="133" spans="1:31" ht="15.75" x14ac:dyDescent="0.25">
      <c r="A133" s="1" t="s">
        <v>357</v>
      </c>
      <c r="AD133" s="26"/>
      <c r="AE133" s="26"/>
    </row>
    <row r="134" spans="1:31" x14ac:dyDescent="0.2">
      <c r="A134" s="31" t="s">
        <v>358</v>
      </c>
      <c r="AD134" s="26"/>
      <c r="AE134" s="26"/>
    </row>
    <row r="135" spans="1:31" x14ac:dyDescent="0.2">
      <c r="A135" s="3" t="s">
        <v>360</v>
      </c>
      <c r="B135" s="4" t="str">
        <f>$B$46</f>
        <v>From Fiscal Forecasts</v>
      </c>
      <c r="F135" s="21">
        <f>'Fiscal Forecasts'!F$204</f>
        <v>20.98</v>
      </c>
      <c r="G135" s="21">
        <f>'Fiscal Forecasts'!G$204</f>
        <v>23.344999999999999</v>
      </c>
      <c r="H135" s="21">
        <f>'Fiscal Forecasts'!H$204</f>
        <v>22.587</v>
      </c>
      <c r="I135" s="21">
        <f>'Fiscal Forecasts'!I$204</f>
        <v>21.774000000000001</v>
      </c>
      <c r="J135" s="21">
        <f>'Fiscal Forecasts'!J$204</f>
        <v>20.856999999999999</v>
      </c>
      <c r="K135" s="21">
        <f>'Fiscal Forecasts'!K$204</f>
        <v>21.236999999999998</v>
      </c>
      <c r="L135" s="21">
        <f>'Fiscal Forecasts'!L$204</f>
        <v>22.33</v>
      </c>
      <c r="M135" s="21">
        <f>'Fiscal Forecasts'!M$204</f>
        <v>23.738</v>
      </c>
      <c r="N135" s="21">
        <f>'Fiscal Forecasts'!N$204 +IF($D$2="Yes",'Fiscal Forecast Adjuster'!E$10,0)/1000</f>
        <v>25.309000000000001</v>
      </c>
      <c r="O135" s="24">
        <f>'Fiscal Forecasts'!O$204 +IF($D$2="Yes",'Fiscal Forecast Adjuster'!F$10,0)/1000</f>
        <v>26.332999999999998</v>
      </c>
      <c r="P135" s="24">
        <f>'Fiscal Forecasts'!P$204 +IF($D$2="Yes",'Fiscal Forecast Adjuster'!G$10,0)/1000</f>
        <v>27.35</v>
      </c>
      <c r="Q135" s="24">
        <f>'Fiscal Forecasts'!Q$204 +IF($D$2="Yes",'Fiscal Forecast Adjuster'!H$10,0)/1000</f>
        <v>28.616</v>
      </c>
      <c r="R135" s="24">
        <f>'Fiscal Forecasts'!R$204 +IF($D$2="Yes",'Fiscal Forecast Adjuster'!I$10,0)/1000</f>
        <v>30.265000000000001</v>
      </c>
      <c r="S135" s="24">
        <f>'Fiscal Forecasts'!S$204 +IF($D$2="Yes",'Fiscal Forecast Adjuster'!J$10,0)/1000</f>
        <v>31.989000000000001</v>
      </c>
      <c r="T135" s="26">
        <f ca="1">IF(T$4&lt;=OFFSET(Choices!$B$33,0,$C$1),S$135*T$21/S$21*(1+T$143*T$31),(S$135/S$11+MIN(OFFSET(Choices!$B$41,0,$C$1),ABS(OFFSET(Choices!$B$35,0,$C$1)-S$135/S$11))*SIGN(OFFSET(Choices!$B$35,0,$C$1)-S$135/S$11))*T$11)</f>
        <v>33.564446071576526</v>
      </c>
      <c r="U135" s="26">
        <f ca="1">IF(U$4&lt;=OFFSET(Choices!$B$33,0,$C$1),T$135*U$21/T$21*(1+U$143*U$31),(T$135/T$11+MIN(OFFSET(Choices!$B$41,0,$C$1),ABS(OFFSET(Choices!$B$35,0,$C$1)-T$135/T$11))*SIGN(OFFSET(Choices!$B$35,0,$C$1)-T$135/T$11))*U$11)</f>
        <v>35.213966802842798</v>
      </c>
      <c r="V135" s="26">
        <f ca="1">IF(V$4&lt;=OFFSET(Choices!$B$33,0,$C$1),U$135*V$21/U$21*(1+V$143*V$31),(U$135/U$11+MIN(OFFSET(Choices!$B$41,0,$C$1),ABS(OFFSET(Choices!$B$35,0,$C$1)-U$135/U$11))*SIGN(OFFSET(Choices!$B$35,0,$C$1)-U$135/U$11))*V$11)</f>
        <v>36.963579286738238</v>
      </c>
      <c r="W135" s="26">
        <f ca="1">IF(W$4&lt;=OFFSET(Choices!$B$33,0,$C$1),V$135*W$21/V$21*(1+W$143*W$31),(V$135/V$11+MIN(OFFSET(Choices!$B$41,0,$C$1),ABS(OFFSET(Choices!$B$35,0,$C$1)-V$135/V$11))*SIGN(OFFSET(Choices!$B$35,0,$C$1)-V$135/V$11))*W$11)</f>
        <v>38.786999672984635</v>
      </c>
      <c r="X135" s="26">
        <f ca="1">IF(X$4&lt;=OFFSET(Choices!$B$33,0,$C$1),W$135*X$21/W$21*(1+X$143*X$31),(W$135/W$11+MIN(OFFSET(Choices!$B$41,0,$C$1),ABS(OFFSET(Choices!$B$35,0,$C$1)-W$135/W$11))*SIGN(OFFSET(Choices!$B$35,0,$C$1)-W$135/W$11))*X$11)</f>
        <v>40.523989367168184</v>
      </c>
      <c r="Y135" s="26">
        <f ca="1">IF(Y$4&lt;=OFFSET(Choices!$B$33,0,$C$1),X$135*Y$21/X$21*(1+Y$143*Y$31),(X$135/X$11+MIN(OFFSET(Choices!$B$41,0,$C$1),ABS(OFFSET(Choices!$B$35,0,$C$1)-X$135/X$11))*SIGN(OFFSET(Choices!$B$35,0,$C$1)-X$135/X$11))*Y$11)</f>
        <v>42.303128513620173</v>
      </c>
      <c r="Z135" s="26">
        <f ca="1">IF(Z$4&lt;=OFFSET(Choices!$B$33,0,$C$1),Y$135*Z$21/Y$21*(1+Z$143*Z$31),(Y$135/Y$11+MIN(OFFSET(Choices!$B$41,0,$C$1),ABS(OFFSET(Choices!$B$35,0,$C$1)-Y$135/Y$11))*SIGN(OFFSET(Choices!$B$35,0,$C$1)-Y$135/Y$11))*Z$11)</f>
        <v>44.134365312111335</v>
      </c>
      <c r="AA135" s="26">
        <f ca="1">IF(AA$4&lt;=OFFSET(Choices!$B$33,0,$C$1),Z$135*AA$21/Z$21*(1+AA$143*AA$31),(Z$135/Z$11+MIN(OFFSET(Choices!$B$41,0,$C$1),ABS(OFFSET(Choices!$B$35,0,$C$1)-Z$135/Z$11))*SIGN(OFFSET(Choices!$B$35,0,$C$1)-Z$135/Z$11))*AA$11)</f>
        <v>46.018988137173309</v>
      </c>
      <c r="AB135" s="26">
        <f ca="1">IF(AB$4&lt;=OFFSET(Choices!$B$33,0,$C$1),AA$135*AB$21/AA$21*(1+AB$143*AB$31),(AA$135/AA$11+MIN(OFFSET(Choices!$B$41,0,$C$1),ABS(OFFSET(Choices!$B$35,0,$C$1)-AA$135/AA$11))*SIGN(OFFSET(Choices!$B$35,0,$C$1)-AA$135/AA$11))*AB$11)</f>
        <v>47.949719465598648</v>
      </c>
      <c r="AC135" s="26">
        <f ca="1">IF(AC$4&lt;=OFFSET(Choices!$B$33,0,$C$1),AB$135*AC$21/AB$21*(1+AC$143*AC$31),(AB$135/AB$11+MIN(OFFSET(Choices!$B$41,0,$C$1),ABS(OFFSET(Choices!$B$35,0,$C$1)-AB$135/AB$11))*SIGN(OFFSET(Choices!$B$35,0,$C$1)-AB$135/AB$11))*AC$11)</f>
        <v>49.936621714469041</v>
      </c>
      <c r="AD135" s="26"/>
      <c r="AE135" s="26"/>
    </row>
    <row r="136" spans="1:31" x14ac:dyDescent="0.2">
      <c r="A136" s="3" t="s">
        <v>380</v>
      </c>
      <c r="B136" s="4" t="str">
        <f>$B$46</f>
        <v>From Fiscal Forecasts</v>
      </c>
      <c r="F136" s="21">
        <f>'Fiscal Forecasts'!F$205</f>
        <v>9.891</v>
      </c>
      <c r="G136" s="21">
        <f>'Fiscal Forecasts'!G$205</f>
        <v>10.122</v>
      </c>
      <c r="H136" s="21">
        <f>'Fiscal Forecasts'!H$205</f>
        <v>9.2759999999999998</v>
      </c>
      <c r="I136" s="21">
        <f>'Fiscal Forecasts'!I$205</f>
        <v>7.2</v>
      </c>
      <c r="J136" s="21">
        <f>'Fiscal Forecasts'!J$205</f>
        <v>6.9569999999999999</v>
      </c>
      <c r="K136" s="21">
        <f>'Fiscal Forecasts'!K$205</f>
        <v>8.6120000000000001</v>
      </c>
      <c r="L136" s="21">
        <f>'Fiscal Forecasts'!L$205</f>
        <v>9.0180000000000007</v>
      </c>
      <c r="M136" s="21">
        <f>'Fiscal Forecasts'!M$205</f>
        <v>9.2639999999999993</v>
      </c>
      <c r="N136" s="21">
        <f>'Fiscal Forecasts'!N$205 +IF($D$2="Yes",'Fiscal Forecast Adjuster'!E$11,0)/1000</f>
        <v>10.295999999999999</v>
      </c>
      <c r="O136" s="24">
        <f>'Fiscal Forecasts'!O$205 +IF($D$2="Yes",'Fiscal Forecast Adjuster'!F$11,0)/1000</f>
        <v>10.192</v>
      </c>
      <c r="P136" s="24">
        <f>'Fiscal Forecasts'!P$205 +IF($D$2="Yes",'Fiscal Forecast Adjuster'!G$11,0)/1000</f>
        <v>10.62</v>
      </c>
      <c r="Q136" s="24">
        <f>'Fiscal Forecasts'!Q$205 +IF($D$2="Yes",'Fiscal Forecast Adjuster'!H$11,0)/1000</f>
        <v>11.680999999999999</v>
      </c>
      <c r="R136" s="24">
        <f>'Fiscal Forecasts'!R$205 +IF($D$2="Yes",'Fiscal Forecast Adjuster'!I$11,0)/1000</f>
        <v>12.59</v>
      </c>
      <c r="S136" s="24">
        <f>'Fiscal Forecasts'!S$205 +IF($D$2="Yes",'Fiscal Forecast Adjuster'!J$11,0)/1000</f>
        <v>13.087</v>
      </c>
      <c r="T136" s="26">
        <f ca="1">(S$136/S$11+MIN(OFFSET(Choices!$B$41,0,$C$1),ABS(OFFSET(Choices!$B$36,0,$C$1)-S$136/S$11))*SIGN(OFFSET(Choices!$B$36,0,$C$1)-S$136/S$11))*T$11</f>
        <v>13.513498647304377</v>
      </c>
      <c r="U136" s="26">
        <f ca="1">(T$136/T$11+MIN(OFFSET(Choices!$B$41,0,$C$1),ABS(OFFSET(Choices!$B$36,0,$C$1)-T$136/T$11))*SIGN(OFFSET(Choices!$B$36,0,$C$1)-T$136/T$11))*U$11</f>
        <v>13.950971035893156</v>
      </c>
      <c r="V136" s="26">
        <f ca="1">(U$136/U$11+MIN(OFFSET(Choices!$B$41,0,$C$1),ABS(OFFSET(Choices!$B$36,0,$C$1)-U$136/U$11))*SIGN(OFFSET(Choices!$B$36,0,$C$1)-U$136/U$11))*V$11</f>
        <v>14.408393165437301</v>
      </c>
      <c r="W136" s="26">
        <f ca="1">(V$136/V$11+MIN(OFFSET(Choices!$B$41,0,$C$1),ABS(OFFSET(Choices!$B$36,0,$C$1)-V$136/V$11))*SIGN(OFFSET(Choices!$B$36,0,$C$1)-V$136/V$11))*W$11</f>
        <v>14.874048196348218</v>
      </c>
      <c r="X136" s="26">
        <f ca="1">(W$136/W$11+MIN(OFFSET(Choices!$B$41,0,$C$1),ABS(OFFSET(Choices!$B$36,0,$C$1)-W$136/W$11))*SIGN(OFFSET(Choices!$B$36,0,$C$1)-W$136/W$11))*X$11</f>
        <v>15.472795940191489</v>
      </c>
      <c r="Y136" s="26">
        <f ca="1">(X$136/X$11+MIN(OFFSET(Choices!$B$41,0,$C$1),ABS(OFFSET(Choices!$B$36,0,$C$1)-X$136/X$11))*SIGN(OFFSET(Choices!$B$36,0,$C$1)-X$136/X$11))*Y$11</f>
        <v>16.152103614291342</v>
      </c>
      <c r="Z136" s="26">
        <f ca="1">(Y$136/Y$11+MIN(OFFSET(Choices!$B$41,0,$C$1),ABS(OFFSET(Choices!$B$36,0,$C$1)-Y$136/Y$11))*SIGN(OFFSET(Choices!$B$36,0,$C$1)-Y$136/Y$11))*Z$11</f>
        <v>16.851303119169785</v>
      </c>
      <c r="AA136" s="26">
        <f ca="1">(Z$136/Z$11+MIN(OFFSET(Choices!$B$41,0,$C$1),ABS(OFFSET(Choices!$B$36,0,$C$1)-Z$136/Z$11))*SIGN(OFFSET(Choices!$B$36,0,$C$1)-Z$136/Z$11))*AA$11</f>
        <v>17.570886379647991</v>
      </c>
      <c r="AB136" s="26">
        <f ca="1">(AA$136/AA$11+MIN(OFFSET(Choices!$B$41,0,$C$1),ABS(OFFSET(Choices!$B$36,0,$C$1)-AA$136/AA$11))*SIGN(OFFSET(Choices!$B$36,0,$C$1)-AA$136/AA$11))*AB$11</f>
        <v>18.30807470504676</v>
      </c>
      <c r="AC136" s="26">
        <f ca="1">(AB$136/AB$11+MIN(OFFSET(Choices!$B$41,0,$C$1),ABS(OFFSET(Choices!$B$36,0,$C$1)-AB$136/AB$11))*SIGN(OFFSET(Choices!$B$36,0,$C$1)-AB$136/AB$11))*AC$11</f>
        <v>19.066710109160908</v>
      </c>
      <c r="AD136" s="26"/>
      <c r="AE136" s="26"/>
    </row>
    <row r="137" spans="1:31" x14ac:dyDescent="0.2">
      <c r="A137" s="3" t="s">
        <v>383</v>
      </c>
      <c r="B137" s="4" t="str">
        <f>$B$46</f>
        <v>From Fiscal Forecasts</v>
      </c>
      <c r="F137" s="21">
        <f>'Fiscal Forecasts'!F$206</f>
        <v>11.215</v>
      </c>
      <c r="G137" s="21">
        <f>'Fiscal Forecasts'!G$206</f>
        <v>11.115</v>
      </c>
      <c r="H137" s="21">
        <f>'Fiscal Forecasts'!H$206</f>
        <v>11.551</v>
      </c>
      <c r="I137" s="21">
        <f>'Fiscal Forecasts'!I$206</f>
        <v>11.917</v>
      </c>
      <c r="J137" s="21">
        <f>'Fiscal Forecasts'!J$206</f>
        <v>13.708</v>
      </c>
      <c r="K137" s="21">
        <f>'Fiscal Forecasts'!K$206</f>
        <v>14.571999999999999</v>
      </c>
      <c r="L137" s="21">
        <f>'Fiscal Forecasts'!L$206</f>
        <v>15.205</v>
      </c>
      <c r="M137" s="21">
        <f>'Fiscal Forecasts'!M$206</f>
        <v>16.016999999999999</v>
      </c>
      <c r="N137" s="21">
        <f>'Fiscal Forecasts'!N$206 +IF($D$2="Yes",'Fiscal Forecast Adjuster'!E$12,0)/1000</f>
        <v>17.169</v>
      </c>
      <c r="O137" s="24">
        <f>'Fiscal Forecasts'!O$206 +IF($D$2="Yes",'Fiscal Forecast Adjuster'!F$12,0)/1000</f>
        <v>18.015999999999998</v>
      </c>
      <c r="P137" s="24">
        <f>'Fiscal Forecasts'!P$206 +IF($D$2="Yes",'Fiscal Forecast Adjuster'!G$12,0)/1000</f>
        <v>18.884</v>
      </c>
      <c r="Q137" s="24">
        <f>'Fiscal Forecasts'!Q$206 +IF($D$2="Yes",'Fiscal Forecast Adjuster'!H$12,0)/1000</f>
        <v>19.824000000000002</v>
      </c>
      <c r="R137" s="24">
        <f>'Fiscal Forecasts'!R$206 +IF($D$2="Yes",'Fiscal Forecast Adjuster'!I$12,0)/1000</f>
        <v>20.908999999999999</v>
      </c>
      <c r="S137" s="24">
        <f>'Fiscal Forecasts'!S$206 +IF($D$2="Yes",'Fiscal Forecast Adjuster'!J$12,0)/1000</f>
        <v>21.798999999999999</v>
      </c>
      <c r="T137" s="26">
        <f ca="1">(S$137/S$11+MIN(OFFSET(Choices!$B$41,0,$C$1),ABS(OFFSET(Choices!$B$37,0,$C$1)-S$137/S$11))*SIGN(OFFSET(Choices!$B$37,0,$C$1)-S$137/S$11))*T$11</f>
        <v>22.900000698711654</v>
      </c>
      <c r="U137" s="26">
        <f ca="1">(T$137/T$11+MIN(OFFSET(Choices!$B$41,0,$C$1),ABS(OFFSET(Choices!$B$37,0,$C$1)-T$137/T$11))*SIGN(OFFSET(Choices!$B$37,0,$C$1)-T$137/T$11))*U$11</f>
        <v>23.915171267186359</v>
      </c>
      <c r="V137" s="26">
        <f ca="1">(U$137/U$11+MIN(OFFSET(Choices!$B$41,0,$C$1),ABS(OFFSET(Choices!$B$37,0,$C$1)-U$137/U$11))*SIGN(OFFSET(Choices!$B$37,0,$C$1)-U$137/U$11))*V$11</f>
        <v>24.988733303329738</v>
      </c>
      <c r="W137" s="26">
        <f ca="1">(V$137/V$11+MIN(OFFSET(Choices!$B$41,0,$C$1),ABS(OFFSET(Choices!$B$37,0,$C$1)-V$137/V$11))*SIGN(OFFSET(Choices!$B$37,0,$C$1)-V$137/V$11))*W$11</f>
        <v>26.102202231621394</v>
      </c>
      <c r="X137" s="26">
        <f ca="1">(W$137/W$11+MIN(OFFSET(Choices!$B$41,0,$C$1),ABS(OFFSET(Choices!$B$37,0,$C$1)-W$137/W$11))*SIGN(OFFSET(Choices!$B$37,0,$C$1)-W$137/W$11))*X$11</f>
        <v>27.261592847004049</v>
      </c>
      <c r="Y137" s="26">
        <f ca="1">(X$137/X$11+MIN(OFFSET(Choices!$B$41,0,$C$1),ABS(OFFSET(Choices!$B$37,0,$C$1)-X$137/X$11))*SIGN(OFFSET(Choices!$B$37,0,$C$1)-X$137/X$11))*Y$11</f>
        <v>28.458468272799028</v>
      </c>
      <c r="Z137" s="26">
        <f ca="1">(Y$137/Y$11+MIN(OFFSET(Choices!$B$41,0,$C$1),ABS(OFFSET(Choices!$B$37,0,$C$1)-Y$137/Y$11))*SIGN(OFFSET(Choices!$B$37,0,$C$1)-Y$137/Y$11))*Z$11</f>
        <v>29.690391209965806</v>
      </c>
      <c r="AA137" s="26">
        <f ca="1">(Z$137/Z$11+MIN(OFFSET(Choices!$B$41,0,$C$1),ABS(OFFSET(Choices!$B$37,0,$C$1)-Z$137/Z$11))*SIGN(OFFSET(Choices!$B$37,0,$C$1)-Z$137/Z$11))*AA$11</f>
        <v>30.958228383189315</v>
      </c>
      <c r="AB137" s="26">
        <f ca="1">(AA$137/AA$11+MIN(OFFSET(Choices!$B$41,0,$C$1),ABS(OFFSET(Choices!$B$37,0,$C$1)-AA$137/AA$11))*SIGN(OFFSET(Choices!$B$37,0,$C$1)-AA$137/AA$11))*AB$11</f>
        <v>32.25708400413</v>
      </c>
      <c r="AC137" s="26">
        <f ca="1">(AB$137/AB$11+MIN(OFFSET(Choices!$B$41,0,$C$1),ABS(OFFSET(Choices!$B$37,0,$C$1)-AB$137/AB$11))*SIGN(OFFSET(Choices!$B$37,0,$C$1)-AB$137/AB$11))*AC$11</f>
        <v>33.593727335188262</v>
      </c>
      <c r="AD137" s="26"/>
      <c r="AE137" s="26"/>
    </row>
    <row r="138" spans="1:31" x14ac:dyDescent="0.2">
      <c r="A138" s="3" t="s">
        <v>387</v>
      </c>
      <c r="B138" s="4" t="str">
        <f>$B$46</f>
        <v>From Fiscal Forecasts</v>
      </c>
      <c r="F138" s="21">
        <f>'Fiscal Forecasts'!F$207</f>
        <v>2.3879999999999999</v>
      </c>
      <c r="G138" s="21">
        <f>'Fiscal Forecasts'!G$207</f>
        <v>2.4239999999999999</v>
      </c>
      <c r="H138" s="21">
        <f>'Fiscal Forecasts'!H$207</f>
        <v>2.3339999999999996</v>
      </c>
      <c r="I138" s="21">
        <f>'Fiscal Forecasts'!I$207</f>
        <v>2.508</v>
      </c>
      <c r="J138" s="21">
        <f>'Fiscal Forecasts'!J$207</f>
        <v>2.6349999999999998</v>
      </c>
      <c r="K138" s="21">
        <f>'Fiscal Forecasts'!K$207</f>
        <v>2.6980000000000004</v>
      </c>
      <c r="L138" s="21">
        <f>'Fiscal Forecasts'!L$207</f>
        <v>2.7689999999999997</v>
      </c>
      <c r="M138" s="21">
        <f>'Fiscal Forecasts'!M$207</f>
        <v>3.004</v>
      </c>
      <c r="N138" s="21">
        <f>'Fiscal Forecasts'!N$207 +IF($D$2="Yes",'Fiscal Forecast Adjuster'!E$13,0)/1000</f>
        <v>3.2029999999999998</v>
      </c>
      <c r="O138" s="24">
        <f>'Fiscal Forecasts'!O$207 +IF($D$2="Yes",'Fiscal Forecast Adjuster'!F$13,0)/1000</f>
        <v>3.3420000000000001</v>
      </c>
      <c r="P138" s="24">
        <f>'Fiscal Forecasts'!P$207 +IF($D$2="Yes",'Fiscal Forecast Adjuster'!G$13,0)/1000</f>
        <v>3.4289999999999998</v>
      </c>
      <c r="Q138" s="24">
        <f>'Fiscal Forecasts'!Q$207 +IF($D$2="Yes",'Fiscal Forecast Adjuster'!H$13,0)/1000</f>
        <v>3.552</v>
      </c>
      <c r="R138" s="24">
        <f>'Fiscal Forecasts'!R$207 +IF($D$2="Yes",'Fiscal Forecast Adjuster'!I$13,0)/1000</f>
        <v>3.6749999999999998</v>
      </c>
      <c r="S138" s="24">
        <f>'Fiscal Forecasts'!S$207 +IF($D$2="Yes",'Fiscal Forecast Adjuster'!J$13,0)/1000</f>
        <v>3.79</v>
      </c>
      <c r="T138" s="26">
        <f ca="1">(S$138/S$11+MIN(OFFSET(Choices!$B$41,0,$C$1),ABS(OFFSET(Choices!$B$38,0,$C$1)-S$138/S$11))*SIGN(OFFSET(Choices!$B$38,0,$C$1)-S$138/S$11))*T$11</f>
        <v>4.0229730957196148</v>
      </c>
      <c r="U138" s="26">
        <f ca="1">(T$138/T$11+MIN(OFFSET(Choices!$B$41,0,$C$1),ABS(OFFSET(Choices!$B$38,0,$C$1)-T$138/T$11))*SIGN(OFFSET(Choices!$B$38,0,$C$1)-T$138/T$11))*U$11</f>
        <v>4.2013138712624682</v>
      </c>
      <c r="V138" s="26">
        <f ca="1">(U$138/U$11+MIN(OFFSET(Choices!$B$41,0,$C$1),ABS(OFFSET(Choices!$B$38,0,$C$1)-U$138/U$11))*SIGN(OFFSET(Choices!$B$38,0,$C$1)-U$138/U$11))*V$11</f>
        <v>4.389912607341711</v>
      </c>
      <c r="W138" s="26">
        <f ca="1">(V$138/V$11+MIN(OFFSET(Choices!$B$41,0,$C$1),ABS(OFFSET(Choices!$B$38,0,$C$1)-V$138/V$11))*SIGN(OFFSET(Choices!$B$38,0,$C$1)-V$138/V$11))*W$11</f>
        <v>4.5855220136632173</v>
      </c>
      <c r="X138" s="26">
        <f ca="1">(W$138/W$11+MIN(OFFSET(Choices!$B$41,0,$C$1),ABS(OFFSET(Choices!$B$38,0,$C$1)-W$138/W$11))*SIGN(OFFSET(Choices!$B$38,0,$C$1)-W$138/W$11))*X$11</f>
        <v>4.7891987433926033</v>
      </c>
      <c r="Y138" s="26">
        <f ca="1">(X$138/X$11+MIN(OFFSET(Choices!$B$41,0,$C$1),ABS(OFFSET(Choices!$B$38,0,$C$1)-X$138/X$11))*SIGN(OFFSET(Choices!$B$38,0,$C$1)-X$138/X$11))*Y$11</f>
        <v>4.9994606425187476</v>
      </c>
      <c r="Z138" s="26">
        <f ca="1">(Y$138/Y$11+MIN(OFFSET(Choices!$B$41,0,$C$1),ABS(OFFSET(Choices!$B$38,0,$C$1)-Y$138/Y$11))*SIGN(OFFSET(Choices!$B$38,0,$C$1)-Y$138/Y$11))*Z$11</f>
        <v>5.2158795368858852</v>
      </c>
      <c r="AA138" s="26">
        <f ca="1">(Z$138/Z$11+MIN(OFFSET(Choices!$B$41,0,$C$1),ABS(OFFSET(Choices!$B$38,0,$C$1)-Z$138/Z$11))*SIGN(OFFSET(Choices!$B$38,0,$C$1)-Z$138/Z$11))*AA$11</f>
        <v>5.4386076889386636</v>
      </c>
      <c r="AB138" s="26">
        <f ca="1">(AA$138/AA$11+MIN(OFFSET(Choices!$B$41,0,$C$1),ABS(OFFSET(Choices!$B$38,0,$C$1)-AA$138/AA$11))*SIGN(OFFSET(Choices!$B$38,0,$C$1)-AA$138/AA$11))*AB$11</f>
        <v>5.6667850277525673</v>
      </c>
      <c r="AC138" s="26">
        <f ca="1">(AB$138/AB$11+MIN(OFFSET(Choices!$B$41,0,$C$1),ABS(OFFSET(Choices!$B$38,0,$C$1)-AB$138/AB$11))*SIGN(OFFSET(Choices!$B$38,0,$C$1)-AB$138/AB$11))*AC$11</f>
        <v>5.9016007480736139</v>
      </c>
      <c r="AD138" s="26"/>
      <c r="AE138" s="26"/>
    </row>
    <row r="139" spans="1:31" x14ac:dyDescent="0.2">
      <c r="A139" s="3" t="s">
        <v>391</v>
      </c>
      <c r="B139" s="4" t="str">
        <f>$B$46</f>
        <v>From Fiscal Forecasts</v>
      </c>
      <c r="F139" s="21">
        <f>'Fiscal Forecasts'!F$208</f>
        <v>8.59</v>
      </c>
      <c r="G139" s="21">
        <f>'Fiscal Forecasts'!G$208</f>
        <v>9.3659999999999997</v>
      </c>
      <c r="H139" s="21">
        <f>'Fiscal Forecasts'!H$208</f>
        <v>8.3970000000000002</v>
      </c>
      <c r="I139" s="21">
        <f>'Fiscal Forecasts'!I$208</f>
        <v>6.9480000000000004</v>
      </c>
      <c r="J139" s="21">
        <f>'Fiscal Forecasts'!J$208</f>
        <v>6.9710000000000001</v>
      </c>
      <c r="K139" s="21">
        <f>'Fiscal Forecasts'!K$208</f>
        <v>7.5460000000000003</v>
      </c>
      <c r="L139" s="21">
        <f>'Fiscal Forecasts'!L$208</f>
        <v>8.8119999999999994</v>
      </c>
      <c r="M139" s="21">
        <f>'Fiscal Forecasts'!M$208</f>
        <v>8.9450000000000003</v>
      </c>
      <c r="N139" s="21">
        <f>'Fiscal Forecasts'!N$208 +IF($D$2="Yes",'Fiscal Forecast Adjuster'!E$14,0)/1000</f>
        <v>10.078000000000001</v>
      </c>
      <c r="O139" s="24">
        <f>'Fiscal Forecasts'!O$208 +IF($D$2="Yes",'Fiscal Forecast Adjuster'!F$14,0)/1000</f>
        <v>9.7649999999999988</v>
      </c>
      <c r="P139" s="24">
        <f>'Fiscal Forecasts'!P$208 +IF($D$2="Yes",'Fiscal Forecast Adjuster'!G$14,0)/1000</f>
        <v>9.9429999999999996</v>
      </c>
      <c r="Q139" s="24">
        <f>'Fiscal Forecasts'!Q$208 +IF($D$2="Yes",'Fiscal Forecast Adjuster'!H$14,0)/1000</f>
        <v>10.678000000000001</v>
      </c>
      <c r="R139" s="24">
        <f>'Fiscal Forecasts'!R$208 +IF($D$2="Yes",'Fiscal Forecast Adjuster'!I$14,0)/1000</f>
        <v>11.695</v>
      </c>
      <c r="S139" s="24">
        <f>'Fiscal Forecasts'!S$208 +IF($D$2="Yes",'Fiscal Forecast Adjuster'!J$14,0)/1000</f>
        <v>12.475999999999999</v>
      </c>
      <c r="T139" s="26">
        <f ca="1">(S$139/S$11+MIN(OFFSET(Choices!$B$41,0,$C$1),ABS(OFFSET(Choices!$B$39,0,$C$1)-S$139/S$11))*SIGN(OFFSET(Choices!$B$39,0,$C$1)-S$139/S$11))*T$11</f>
        <v>13.184821985598996</v>
      </c>
      <c r="U139" s="26">
        <f ca="1">(T$139/T$11+MIN(OFFSET(Choices!$B$41,0,$C$1),ABS(OFFSET(Choices!$B$39,0,$C$1)-T$139/T$11))*SIGN(OFFSET(Choices!$B$39,0,$C$1)-T$139/T$11))*U$11</f>
        <v>13.930901933571906</v>
      </c>
      <c r="V139" s="26">
        <f ca="1">(U$139/U$11+MIN(OFFSET(Choices!$B$41,0,$C$1),ABS(OFFSET(Choices!$B$39,0,$C$1)-U$139/U$11))*SIGN(OFFSET(Choices!$B$39,0,$C$1)-U$139/U$11))*V$11</f>
        <v>14.725108737902907</v>
      </c>
      <c r="W139" s="26">
        <f ca="1">(V$139/V$11+MIN(OFFSET(Choices!$B$41,0,$C$1),ABS(OFFSET(Choices!$B$39,0,$C$1)-V$139/V$11))*SIGN(OFFSET(Choices!$B$39,0,$C$1)-V$139/V$11))*W$11</f>
        <v>15.520228353937044</v>
      </c>
      <c r="X139" s="26">
        <f ca="1">(W$139/W$11+MIN(OFFSET(Choices!$B$41,0,$C$1),ABS(OFFSET(Choices!$B$39,0,$C$1)-W$139/W$11))*SIGN(OFFSET(Choices!$B$39,0,$C$1)-W$139/W$11))*X$11</f>
        <v>16.209595746867272</v>
      </c>
      <c r="Y139" s="26">
        <f ca="1">(X$139/X$11+MIN(OFFSET(Choices!$B$41,0,$C$1),ABS(OFFSET(Choices!$B$39,0,$C$1)-X$139/X$11))*SIGN(OFFSET(Choices!$B$39,0,$C$1)-X$139/X$11))*Y$11</f>
        <v>16.921251405448068</v>
      </c>
      <c r="Z139" s="26">
        <f ca="1">(Y$139/Y$11+MIN(OFFSET(Choices!$B$41,0,$C$1),ABS(OFFSET(Choices!$B$39,0,$C$1)-Y$139/Y$11))*SIGN(OFFSET(Choices!$B$39,0,$C$1)-Y$139/Y$11))*Z$11</f>
        <v>17.653746124844535</v>
      </c>
      <c r="AA139" s="26">
        <f ca="1">(Z$139/Z$11+MIN(OFFSET(Choices!$B$41,0,$C$1),ABS(OFFSET(Choices!$B$39,0,$C$1)-Z$139/Z$11))*SIGN(OFFSET(Choices!$B$39,0,$C$1)-Z$139/Z$11))*AA$11</f>
        <v>18.407595254869321</v>
      </c>
      <c r="AB139" s="26">
        <f ca="1">(AA$139/AA$11+MIN(OFFSET(Choices!$B$41,0,$C$1),ABS(OFFSET(Choices!$B$39,0,$C$1)-AA$139/AA$11))*SIGN(OFFSET(Choices!$B$39,0,$C$1)-AA$139/AA$11))*AB$11</f>
        <v>19.179887786239458</v>
      </c>
      <c r="AC139" s="26">
        <f ca="1">(AB$139/AB$11+MIN(OFFSET(Choices!$B$41,0,$C$1),ABS(OFFSET(Choices!$B$39,0,$C$1)-AB$139/AB$11))*SIGN(OFFSET(Choices!$B$39,0,$C$1)-AB$139/AB$11))*AC$11</f>
        <v>19.974648685787617</v>
      </c>
      <c r="AD139" s="26"/>
      <c r="AE139" s="26"/>
    </row>
    <row r="140" spans="1:31" x14ac:dyDescent="0.2">
      <c r="A140" s="31" t="s">
        <v>392</v>
      </c>
      <c r="B140" s="4"/>
      <c r="F140" s="56">
        <f>SUM(F$135:F$139)</f>
        <v>53.063999999999993</v>
      </c>
      <c r="G140" s="56">
        <f t="shared" ref="G140:AC140" si="106">SUM(G$135:G$139)</f>
        <v>56.372</v>
      </c>
      <c r="H140" s="56">
        <f t="shared" si="106"/>
        <v>54.145000000000003</v>
      </c>
      <c r="I140" s="56">
        <f t="shared" si="106"/>
        <v>50.347000000000001</v>
      </c>
      <c r="J140" s="56">
        <f t="shared" si="106"/>
        <v>51.128</v>
      </c>
      <c r="K140" s="56">
        <f t="shared" si="106"/>
        <v>54.664999999999992</v>
      </c>
      <c r="L140" s="56">
        <f t="shared" si="106"/>
        <v>58.133999999999993</v>
      </c>
      <c r="M140" s="56">
        <f t="shared" si="106"/>
        <v>60.967999999999989</v>
      </c>
      <c r="N140" s="56">
        <f t="shared" si="106"/>
        <v>66.055000000000007</v>
      </c>
      <c r="O140" s="57">
        <f t="shared" si="106"/>
        <v>67.647999999999996</v>
      </c>
      <c r="P140" s="57">
        <f t="shared" si="106"/>
        <v>70.225999999999999</v>
      </c>
      <c r="Q140" s="57">
        <f t="shared" si="106"/>
        <v>74.350999999999999</v>
      </c>
      <c r="R140" s="57">
        <f t="shared" si="106"/>
        <v>79.134000000000015</v>
      </c>
      <c r="S140" s="57">
        <f t="shared" si="106"/>
        <v>83.141000000000005</v>
      </c>
      <c r="T140" s="58">
        <f t="shared" ca="1" si="106"/>
        <v>87.185740498911173</v>
      </c>
      <c r="U140" s="58">
        <f t="shared" ca="1" si="106"/>
        <v>91.212324910756678</v>
      </c>
      <c r="V140" s="58">
        <f t="shared" ca="1" si="106"/>
        <v>95.475727100749907</v>
      </c>
      <c r="W140" s="58">
        <f t="shared" ca="1" si="106"/>
        <v>99.869000468554518</v>
      </c>
      <c r="X140" s="58">
        <f t="shared" ca="1" si="106"/>
        <v>104.25717264462361</v>
      </c>
      <c r="Y140" s="58">
        <f t="shared" ca="1" si="106"/>
        <v>108.83441244867734</v>
      </c>
      <c r="Z140" s="58">
        <f t="shared" ca="1" si="106"/>
        <v>113.54568530297733</v>
      </c>
      <c r="AA140" s="58">
        <f t="shared" ca="1" si="106"/>
        <v>118.39430584381859</v>
      </c>
      <c r="AB140" s="58">
        <f t="shared" ca="1" si="106"/>
        <v>123.36155098876745</v>
      </c>
      <c r="AC140" s="58">
        <f t="shared" ca="1" si="106"/>
        <v>128.47330859267944</v>
      </c>
      <c r="AD140" s="26"/>
      <c r="AE140" s="26"/>
    </row>
    <row r="141" spans="1:31" x14ac:dyDescent="0.2">
      <c r="A141" s="3" t="s">
        <v>828</v>
      </c>
      <c r="B141" s="4" t="str">
        <f>$B$46</f>
        <v>From Fiscal Forecasts</v>
      </c>
      <c r="F141" s="21">
        <f>F$140-'Fiscal Forecasts'!F$163</f>
        <v>-0.41300000000000381</v>
      </c>
      <c r="G141" s="21">
        <f>G$140-'Fiscal Forecasts'!G$163</f>
        <v>-0.375</v>
      </c>
      <c r="H141" s="21">
        <f>H$140-'Fiscal Forecasts'!H$163</f>
        <v>-0.53599999999999426</v>
      </c>
      <c r="I141" s="21">
        <f>I$140-'Fiscal Forecasts'!I$163</f>
        <v>-0.39699999999999847</v>
      </c>
      <c r="J141" s="21">
        <f>J$140-'Fiscal Forecasts'!J$163</f>
        <v>-0.42900000000000205</v>
      </c>
      <c r="K141" s="21">
        <f>K$140-'Fiscal Forecasts'!K$163</f>
        <v>-0.41600000000001103</v>
      </c>
      <c r="L141" s="21">
        <f>L$140-'Fiscal Forecasts'!L$163</f>
        <v>-0.51700000000001012</v>
      </c>
      <c r="M141" s="21">
        <f>M$140-'Fiscal Forecasts'!M$163</f>
        <v>-0.59500000000001307</v>
      </c>
      <c r="N141" s="21">
        <f>N$140-'Fiscal Forecasts'!N$163 +IF($D$2="Yes",-'Fiscal Forecast Adjuster'!E$15,0)/1000</f>
        <v>-0.58099999999998886</v>
      </c>
      <c r="O141" s="24">
        <f>O$140-'Fiscal Forecasts'!O$163 +IF($D$2="Yes",-'Fiscal Forecast Adjuster'!F$15,0)/1000</f>
        <v>-0.76600000000000534</v>
      </c>
      <c r="P141" s="24">
        <f>P$140-'Fiscal Forecasts'!P$163 +IF($D$2="Yes",-'Fiscal Forecast Adjuster'!G$15,0)/1000</f>
        <v>-0.77899999999999636</v>
      </c>
      <c r="Q141" s="24">
        <f>Q$140-'Fiscal Forecasts'!Q$163 +IF($D$2="Yes",-'Fiscal Forecast Adjuster'!H$15,0)/1000</f>
        <v>-0.77700000000000102</v>
      </c>
      <c r="R141" s="24">
        <f>R$140-'Fiscal Forecasts'!R$163 +IF($D$2="Yes",-'Fiscal Forecast Adjuster'!I$15,0)/1000</f>
        <v>-0.79599999999999227</v>
      </c>
      <c r="S141" s="24">
        <f>S$140-'Fiscal Forecasts'!S$163 +IF($D$2="Yes",-'Fiscal Forecast Adjuster'!J$15,0)/1000</f>
        <v>-0.87999999999999545</v>
      </c>
      <c r="T141" s="26">
        <f ca="1">(S$141/S$11+MIN(OFFSET(Choices!$B$41,0,$C$1),ABS(OFFSET(Choices!$B$40,0,$C$1)-S$141/S$11))*SIGN(OFFSET(Choices!$B$40,0,$C$1)-S$141/S$11))*T$11</f>
        <v>-0.92837840670452654</v>
      </c>
      <c r="U141" s="26">
        <f ca="1">(T$141/T$11+MIN(OFFSET(Choices!$B$41,0,$C$1),ABS(OFFSET(Choices!$B$40,0,$C$1)-T$141/T$11))*SIGN(OFFSET(Choices!$B$40,0,$C$1)-T$141/T$11))*U$11</f>
        <v>-0.96953397029133892</v>
      </c>
      <c r="V141" s="26">
        <f ca="1">(U$141/U$11+MIN(OFFSET(Choices!$B$41,0,$C$1),ABS(OFFSET(Choices!$B$40,0,$C$1)-U$141/U$11))*SIGN(OFFSET(Choices!$B$40,0,$C$1)-U$141/U$11))*V$11</f>
        <v>-1.0130567555403949</v>
      </c>
      <c r="W141" s="26">
        <f ca="1">(V$141/V$11+MIN(OFFSET(Choices!$B$41,0,$C$1),ABS(OFFSET(Choices!$B$40,0,$C$1)-V$141/V$11))*SIGN(OFFSET(Choices!$B$40,0,$C$1)-V$141/V$11))*W$11</f>
        <v>-1.058197387768435</v>
      </c>
      <c r="X141" s="26">
        <f ca="1">(W$141/W$11+MIN(OFFSET(Choices!$B$41,0,$C$1),ABS(OFFSET(Choices!$B$40,0,$C$1)-W$141/W$11))*SIGN(OFFSET(Choices!$B$40,0,$C$1)-W$141/W$11))*X$11</f>
        <v>-1.1051997100136777</v>
      </c>
      <c r="Y141" s="26">
        <f ca="1">(X$141/X$11+MIN(OFFSET(Choices!$B$41,0,$C$1),ABS(OFFSET(Choices!$B$40,0,$C$1)-X$141/X$11))*SIGN(OFFSET(Choices!$B$40,0,$C$1)-X$141/X$11))*Y$11</f>
        <v>-1.1537216867350957</v>
      </c>
      <c r="Z141" s="26">
        <f ca="1">(Y$141/Y$11+MIN(OFFSET(Choices!$B$41,0,$C$1),ABS(OFFSET(Choices!$B$40,0,$C$1)-Y$141/Y$11))*SIGN(OFFSET(Choices!$B$40,0,$C$1)-Y$141/Y$11))*Z$11</f>
        <v>-1.2036645085121274</v>
      </c>
      <c r="AA141" s="26">
        <f ca="1">(Z$141/Z$11+MIN(OFFSET(Choices!$B$41,0,$C$1),ABS(OFFSET(Choices!$B$40,0,$C$1)-Z$141/Z$11))*SIGN(OFFSET(Choices!$B$40,0,$C$1)-Z$141/Z$11))*AA$11</f>
        <v>-1.2550633128319992</v>
      </c>
      <c r="AB141" s="26">
        <f ca="1">(AA$141/AA$11+MIN(OFFSET(Choices!$B$41,0,$C$1),ABS(OFFSET(Choices!$B$40,0,$C$1)-AA$141/AA$11))*SIGN(OFFSET(Choices!$B$40,0,$C$1)-AA$141/AA$11))*AB$11</f>
        <v>-1.3077196217890541</v>
      </c>
      <c r="AC141" s="26">
        <f ca="1">(AB$141/AB$11+MIN(OFFSET(Choices!$B$41,0,$C$1),ABS(OFFSET(Choices!$B$40,0,$C$1)-AB$141/AB$11))*SIGN(OFFSET(Choices!$B$40,0,$C$1)-AB$141/AB$11))*AC$11</f>
        <v>-1.3619078649400649</v>
      </c>
      <c r="AD141" s="26"/>
      <c r="AE141" s="26"/>
    </row>
    <row r="142" spans="1:31" x14ac:dyDescent="0.2">
      <c r="A142" s="31" t="s">
        <v>397</v>
      </c>
      <c r="F142" s="56">
        <f>F$140-F$141</f>
        <v>53.476999999999997</v>
      </c>
      <c r="G142" s="56">
        <f t="shared" ref="G142:AC142" si="107">G$140-G$141</f>
        <v>56.747</v>
      </c>
      <c r="H142" s="56">
        <f t="shared" si="107"/>
        <v>54.680999999999997</v>
      </c>
      <c r="I142" s="56">
        <f t="shared" si="107"/>
        <v>50.744</v>
      </c>
      <c r="J142" s="56">
        <f t="shared" si="107"/>
        <v>51.557000000000002</v>
      </c>
      <c r="K142" s="56">
        <f t="shared" si="107"/>
        <v>55.081000000000003</v>
      </c>
      <c r="L142" s="56">
        <f t="shared" si="107"/>
        <v>58.651000000000003</v>
      </c>
      <c r="M142" s="56">
        <f t="shared" si="107"/>
        <v>61.563000000000002</v>
      </c>
      <c r="N142" s="56">
        <f t="shared" si="107"/>
        <v>66.635999999999996</v>
      </c>
      <c r="O142" s="57">
        <f t="shared" si="107"/>
        <v>68.414000000000001</v>
      </c>
      <c r="P142" s="57">
        <f t="shared" si="107"/>
        <v>71.004999999999995</v>
      </c>
      <c r="Q142" s="57">
        <f t="shared" si="107"/>
        <v>75.128</v>
      </c>
      <c r="R142" s="57">
        <f t="shared" si="107"/>
        <v>79.930000000000007</v>
      </c>
      <c r="S142" s="57">
        <f t="shared" si="107"/>
        <v>84.021000000000001</v>
      </c>
      <c r="T142" s="58">
        <f t="shared" ca="1" si="107"/>
        <v>88.114118905615697</v>
      </c>
      <c r="U142" s="58">
        <f t="shared" ca="1" si="107"/>
        <v>92.181858881048015</v>
      </c>
      <c r="V142" s="58">
        <f t="shared" ca="1" si="107"/>
        <v>96.488783856290297</v>
      </c>
      <c r="W142" s="58">
        <f t="shared" ca="1" si="107"/>
        <v>100.92719785632295</v>
      </c>
      <c r="X142" s="58">
        <f t="shared" ca="1" si="107"/>
        <v>105.36237235463729</v>
      </c>
      <c r="Y142" s="58">
        <f t="shared" ca="1" si="107"/>
        <v>109.98813413541244</v>
      </c>
      <c r="Z142" s="58">
        <f t="shared" ca="1" si="107"/>
        <v>114.74934981148947</v>
      </c>
      <c r="AA142" s="58">
        <f t="shared" ca="1" si="107"/>
        <v>119.64936915665058</v>
      </c>
      <c r="AB142" s="58">
        <f t="shared" ca="1" si="107"/>
        <v>124.6692706105565</v>
      </c>
      <c r="AC142" s="58">
        <f t="shared" ca="1" si="107"/>
        <v>129.83521645761951</v>
      </c>
      <c r="AD142" s="26"/>
      <c r="AE142" s="26"/>
    </row>
    <row r="143" spans="1:31" x14ac:dyDescent="0.2">
      <c r="A143" s="4" t="s">
        <v>378</v>
      </c>
      <c r="G143" s="40">
        <f t="shared" ref="G143:S143" si="108">(G$135/(F$135*G$21/F$21)-1)/G$31</f>
        <v>2.1330092784494963</v>
      </c>
      <c r="H143" s="40">
        <f t="shared" si="108"/>
        <v>-0.57139425407691957</v>
      </c>
      <c r="I143" s="40">
        <f t="shared" si="108"/>
        <v>-1.0507154081104482</v>
      </c>
      <c r="J143" s="40">
        <f t="shared" si="108"/>
        <v>-2.6211604777890876</v>
      </c>
      <c r="K143" s="40">
        <f t="shared" si="108"/>
        <v>0.30801720079118344</v>
      </c>
      <c r="L143" s="40">
        <f t="shared" si="108"/>
        <v>2.0544635666420965</v>
      </c>
      <c r="M143" s="40">
        <f t="shared" si="108"/>
        <v>1.156793734923909</v>
      </c>
      <c r="N143" s="40">
        <f t="shared" si="108"/>
        <v>1.3419056790006609</v>
      </c>
      <c r="O143" s="41">
        <f t="shared" si="108"/>
        <v>1.5252756727181727</v>
      </c>
      <c r="P143" s="41">
        <f t="shared" si="108"/>
        <v>1.1910472504728216</v>
      </c>
      <c r="Q143" s="41">
        <f t="shared" si="108"/>
        <v>1.1686199227001517</v>
      </c>
      <c r="R143" s="41">
        <f t="shared" si="108"/>
        <v>1.2413304734310751</v>
      </c>
      <c r="S143" s="41">
        <f t="shared" si="108"/>
        <v>1.3191091230620933</v>
      </c>
      <c r="T143" s="50">
        <f ca="1">OFFSET(Choices!$B$34,0,$C$1)</f>
        <v>1.35</v>
      </c>
      <c r="U143" s="50">
        <f ca="1">OFFSET(Choices!$B$34,0,$C$1)</f>
        <v>1.35</v>
      </c>
      <c r="V143" s="50">
        <f ca="1">OFFSET(Choices!$B$34,0,$C$1)</f>
        <v>1.35</v>
      </c>
      <c r="W143" s="50">
        <f ca="1">OFFSET(Choices!$B$34,0,$C$1)</f>
        <v>1.35</v>
      </c>
      <c r="X143" s="50">
        <f ca="1">OFFSET(Choices!$B$34,0,$C$1)</f>
        <v>1.35</v>
      </c>
      <c r="Y143" s="50">
        <f ca="1">OFFSET(Choices!$B$34,0,$C$1)</f>
        <v>1.35</v>
      </c>
      <c r="Z143" s="50">
        <f ca="1">OFFSET(Choices!$B$34,0,$C$1)</f>
        <v>1.35</v>
      </c>
      <c r="AA143" s="50">
        <f ca="1">OFFSET(Choices!$B$34,0,$C$1)</f>
        <v>1.35</v>
      </c>
      <c r="AB143" s="50">
        <f ca="1">OFFSET(Choices!$B$34,0,$C$1)</f>
        <v>1.35</v>
      </c>
      <c r="AC143" s="50">
        <f ca="1">OFFSET(Choices!$B$34,0,$C$1)</f>
        <v>1.35</v>
      </c>
      <c r="AD143" s="26"/>
      <c r="AE143" s="26"/>
    </row>
    <row r="144" spans="1:31" x14ac:dyDescent="0.2">
      <c r="O144" s="26"/>
      <c r="P144" s="26"/>
      <c r="Q144" s="26"/>
      <c r="R144" s="26"/>
      <c r="S144" s="26"/>
      <c r="AD144" s="26"/>
      <c r="AE144" s="26"/>
    </row>
    <row r="145" spans="1:31" x14ac:dyDescent="0.2">
      <c r="A145" s="31" t="s">
        <v>224</v>
      </c>
      <c r="AD145" s="26"/>
      <c r="AE145" s="26"/>
    </row>
    <row r="146" spans="1:31" x14ac:dyDescent="0.2">
      <c r="A146" s="3" t="s">
        <v>399</v>
      </c>
      <c r="B146" s="4" t="str">
        <f>$B$46</f>
        <v>From Fiscal Forecasts</v>
      </c>
      <c r="F146" s="21">
        <f>'Fiscal Forecasts'!F$213</f>
        <v>0.24199999999999999</v>
      </c>
      <c r="G146" s="21">
        <f>'Fiscal Forecasts'!G$213</f>
        <v>0.308</v>
      </c>
      <c r="H146" s="21">
        <f>'Fiscal Forecasts'!H$213</f>
        <v>0.375</v>
      </c>
      <c r="I146" s="21">
        <f>'Fiscal Forecasts'!I$213</f>
        <v>0.57199999999999995</v>
      </c>
      <c r="J146" s="21">
        <f>'Fiscal Forecasts'!J$213</f>
        <v>0.52300000000000002</v>
      </c>
      <c r="K146" s="21">
        <f>'Fiscal Forecasts'!K$213</f>
        <v>0.311</v>
      </c>
      <c r="L146" s="21">
        <f>'Fiscal Forecasts'!L$213</f>
        <v>0.59</v>
      </c>
      <c r="M146" s="21">
        <f>'Fiscal Forecasts'!M$213</f>
        <v>0.28999999999999998</v>
      </c>
      <c r="N146" s="21">
        <f>'Fiscal Forecasts'!N$213</f>
        <v>0.28299999999999997</v>
      </c>
      <c r="O146" s="24">
        <f>'Fiscal Forecasts'!O$213</f>
        <v>0.27800000000000002</v>
      </c>
      <c r="P146" s="24">
        <f>'Fiscal Forecasts'!P$213</f>
        <v>0.28100000000000003</v>
      </c>
      <c r="Q146" s="24">
        <f>'Fiscal Forecasts'!Q$213</f>
        <v>0.29299999999999998</v>
      </c>
      <c r="R146" s="24">
        <f>'Fiscal Forecasts'!R$213</f>
        <v>0.30599999999999999</v>
      </c>
      <c r="S146" s="24">
        <f>'Fiscal Forecasts'!S$213</f>
        <v>0.32100000000000001</v>
      </c>
      <c r="T146" s="26">
        <f ca="1">S$146*T$11/S$11</f>
        <v>0.33525646141540444</v>
      </c>
      <c r="U146" s="26">
        <f t="shared" ref="U146:AB146" ca="1" si="109">T$146*U$11/T$11</f>
        <v>0.35011857853922801</v>
      </c>
      <c r="V146" s="26">
        <f t="shared" ca="1" si="109"/>
        <v>0.36583554790017631</v>
      </c>
      <c r="W146" s="26">
        <f t="shared" ca="1" si="109"/>
        <v>0.38213675494843918</v>
      </c>
      <c r="X146" s="26">
        <f t="shared" ca="1" si="109"/>
        <v>0.39911025640048436</v>
      </c>
      <c r="Y146" s="26">
        <f t="shared" ca="1" si="109"/>
        <v>0.41663253621550872</v>
      </c>
      <c r="Z146" s="26">
        <f t="shared" ca="1" si="109"/>
        <v>0.43466791228753837</v>
      </c>
      <c r="AA146" s="26">
        <f t="shared" ca="1" si="109"/>
        <v>0.45322907348303715</v>
      </c>
      <c r="AB146" s="26">
        <f t="shared" ca="1" si="109"/>
        <v>0.47224434536425502</v>
      </c>
      <c r="AC146" s="26">
        <f ca="1">AB$146*AC$11/AB$11</f>
        <v>0.49181283006610499</v>
      </c>
      <c r="AD146" s="26"/>
      <c r="AE146" s="26"/>
    </row>
    <row r="147" spans="1:31" x14ac:dyDescent="0.2">
      <c r="A147" s="3" t="s">
        <v>430</v>
      </c>
      <c r="B147" s="4" t="str">
        <f>$B$46</f>
        <v>From Fiscal Forecasts</v>
      </c>
      <c r="F147" s="21">
        <f>'Fiscal Forecasts'!F$416</f>
        <v>0</v>
      </c>
      <c r="G147" s="21">
        <f>'Fiscal Forecasts'!G$416</f>
        <v>0</v>
      </c>
      <c r="H147" s="21">
        <f>'Fiscal Forecasts'!H$416</f>
        <v>0</v>
      </c>
      <c r="I147" s="21">
        <f>'Fiscal Forecasts'!I$416</f>
        <v>2.3E-2</v>
      </c>
      <c r="J147" s="21">
        <f>'Fiscal Forecasts'!J$416</f>
        <v>0.32200000000000001</v>
      </c>
      <c r="K147" s="21">
        <f>'Fiscal Forecasts'!K$416</f>
        <v>6.4000000000000001E-2</v>
      </c>
      <c r="L147" s="21">
        <f>'Fiscal Forecasts'!L$416</f>
        <v>0.04</v>
      </c>
      <c r="M147" s="21">
        <f>'Fiscal Forecasts'!M$416</f>
        <v>1.2999999999999999E-2</v>
      </c>
      <c r="N147" s="21">
        <f>'Fiscal Forecasts'!N$416</f>
        <v>0.13500000000000001</v>
      </c>
      <c r="O147" s="24">
        <f>'Fiscal Forecasts'!O$416</f>
        <v>0.16900000000000001</v>
      </c>
      <c r="P147" s="24">
        <f>'Fiscal Forecasts'!P$416</f>
        <v>0.17199999999999999</v>
      </c>
      <c r="Q147" s="24">
        <f>'Fiscal Forecasts'!Q$416</f>
        <v>0.17599999999999999</v>
      </c>
      <c r="R147" s="24">
        <f>'Fiscal Forecasts'!R$416</f>
        <v>0.17599999999999999</v>
      </c>
      <c r="S147" s="24">
        <f>'Fiscal Forecasts'!S$416</f>
        <v>0.17799999999999999</v>
      </c>
      <c r="T147" s="26">
        <f t="shared" ref="T147:AC147" ca="1" si="110">S$147*T$29/S$29</f>
        <v>0.18163010038610039</v>
      </c>
      <c r="U147" s="26">
        <f t="shared" ca="1" si="110"/>
        <v>0.18526270239382242</v>
      </c>
      <c r="V147" s="26">
        <f t="shared" ca="1" si="110"/>
        <v>0.18896795644169886</v>
      </c>
      <c r="W147" s="26">
        <f t="shared" ca="1" si="110"/>
        <v>0.19274731557053282</v>
      </c>
      <c r="X147" s="26">
        <f t="shared" ca="1" si="110"/>
        <v>0.19660226188194349</v>
      </c>
      <c r="Y147" s="26">
        <f t="shared" ca="1" si="110"/>
        <v>0.20053430711958239</v>
      </c>
      <c r="Z147" s="26">
        <f t="shared" ca="1" si="110"/>
        <v>0.20454499326197403</v>
      </c>
      <c r="AA147" s="26">
        <f t="shared" ca="1" si="110"/>
        <v>0.20863589312721351</v>
      </c>
      <c r="AB147" s="26">
        <f t="shared" ca="1" si="110"/>
        <v>0.21280861098975778</v>
      </c>
      <c r="AC147" s="26">
        <f t="shared" ca="1" si="110"/>
        <v>0.21706478320955291</v>
      </c>
      <c r="AD147" s="26"/>
      <c r="AE147" s="26"/>
    </row>
    <row r="148" spans="1:31" x14ac:dyDescent="0.2">
      <c r="A148" s="3" t="s">
        <v>403</v>
      </c>
      <c r="B148" s="4" t="str">
        <f>$B$46</f>
        <v>From Fiscal Forecasts</v>
      </c>
      <c r="F148" s="21">
        <f>'Fiscal Forecasts'!F$164-SUM(F$146:F$147)</f>
        <v>0.39400000000000002</v>
      </c>
      <c r="G148" s="21">
        <f>'Fiscal Forecasts'!G$164-SUM(G$146:G$147)</f>
        <v>0.42499999999999999</v>
      </c>
      <c r="H148" s="21">
        <f>'Fiscal Forecasts'!H$164-SUM(H$146:H$147)</f>
        <v>0.43300000000000005</v>
      </c>
      <c r="I148" s="21">
        <f>'Fiscal Forecasts'!I$164-SUM(I$146:I$147)</f>
        <v>0.41999999999999993</v>
      </c>
      <c r="J148" s="21">
        <f>'Fiscal Forecasts'!J$164-SUM(J$146:J$147)</f>
        <v>0.42999999999999994</v>
      </c>
      <c r="K148" s="21">
        <f>'Fiscal Forecasts'!K$164-SUM(K$146:K$147)</f>
        <v>0.56000000000000005</v>
      </c>
      <c r="L148" s="21">
        <f>'Fiscal Forecasts'!L$164-SUM(L$146:L$147)</f>
        <v>0.503</v>
      </c>
      <c r="M148" s="21">
        <f>'Fiscal Forecasts'!M$164-SUM(M$146:M$147)</f>
        <v>0.57499999999999996</v>
      </c>
      <c r="N148" s="21">
        <f>'Fiscal Forecasts'!N$164-SUM(N$146:N$147)</f>
        <v>0.57499999999999996</v>
      </c>
      <c r="O148" s="24">
        <f>'Fiscal Forecasts'!O$164-SUM(O$146:O$147)</f>
        <v>0.60299999999999998</v>
      </c>
      <c r="P148" s="24">
        <f>'Fiscal Forecasts'!P$164-SUM(P$146:P$147)</f>
        <v>0.61299999999999999</v>
      </c>
      <c r="Q148" s="24">
        <f>'Fiscal Forecasts'!Q$164-SUM(Q$146:Q$147)</f>
        <v>0.6070000000000001</v>
      </c>
      <c r="R148" s="24">
        <f>'Fiscal Forecasts'!R$164-SUM(R$146:R$147)</f>
        <v>0.60899999999999999</v>
      </c>
      <c r="S148" s="24">
        <f>'Fiscal Forecasts'!S$164-SUM(S$146:S$147)</f>
        <v>0.60799999999999998</v>
      </c>
      <c r="T148" s="26">
        <f t="shared" ref="T148:AC148" ca="1" si="111">S$148*T$11/S$11</f>
        <v>0.63500289264973797</v>
      </c>
      <c r="U148" s="26">
        <f t="shared" ca="1" si="111"/>
        <v>0.66315294626744736</v>
      </c>
      <c r="V148" s="26">
        <f t="shared" ca="1" si="111"/>
        <v>0.69292215926263923</v>
      </c>
      <c r="W148" s="26">
        <f t="shared" ca="1" si="111"/>
        <v>0.72379796575903743</v>
      </c>
      <c r="X148" s="26">
        <f t="shared" ca="1" si="111"/>
        <v>0.75594715230995169</v>
      </c>
      <c r="Y148" s="26">
        <f t="shared" ca="1" si="111"/>
        <v>0.78913576952968634</v>
      </c>
      <c r="Z148" s="26">
        <f t="shared" ca="1" si="111"/>
        <v>0.82329623261938745</v>
      </c>
      <c r="AA148" s="26">
        <f t="shared" ca="1" si="111"/>
        <v>0.85845257531989605</v>
      </c>
      <c r="AB148" s="26">
        <f t="shared" ca="1" si="111"/>
        <v>0.89446904044070752</v>
      </c>
      <c r="AC148" s="26">
        <f t="shared" ca="1" si="111"/>
        <v>0.93153333545231121</v>
      </c>
      <c r="AD148" s="26"/>
      <c r="AE148" s="26"/>
    </row>
    <row r="149" spans="1:31" x14ac:dyDescent="0.2">
      <c r="A149" s="31" t="s">
        <v>404</v>
      </c>
      <c r="F149" s="56">
        <f>SUM(F$146:F$148)</f>
        <v>0.63600000000000001</v>
      </c>
      <c r="G149" s="56">
        <f t="shared" ref="G149:AC149" si="112">SUM(G$146:G$148)</f>
        <v>0.73299999999999998</v>
      </c>
      <c r="H149" s="56">
        <f t="shared" si="112"/>
        <v>0.80800000000000005</v>
      </c>
      <c r="I149" s="56">
        <f t="shared" si="112"/>
        <v>1.0149999999999999</v>
      </c>
      <c r="J149" s="56">
        <f t="shared" si="112"/>
        <v>1.2749999999999999</v>
      </c>
      <c r="K149" s="56">
        <f t="shared" si="112"/>
        <v>0.93500000000000005</v>
      </c>
      <c r="L149" s="56">
        <f t="shared" si="112"/>
        <v>1.133</v>
      </c>
      <c r="M149" s="56">
        <f t="shared" si="112"/>
        <v>0.87799999999999989</v>
      </c>
      <c r="N149" s="56">
        <f t="shared" si="112"/>
        <v>0.99299999999999988</v>
      </c>
      <c r="O149" s="57">
        <f t="shared" si="112"/>
        <v>1.05</v>
      </c>
      <c r="P149" s="57">
        <f t="shared" si="112"/>
        <v>1.0660000000000001</v>
      </c>
      <c r="Q149" s="57">
        <f t="shared" si="112"/>
        <v>1.0760000000000001</v>
      </c>
      <c r="R149" s="57">
        <f t="shared" si="112"/>
        <v>1.091</v>
      </c>
      <c r="S149" s="57">
        <f t="shared" si="112"/>
        <v>1.107</v>
      </c>
      <c r="T149" s="58">
        <f t="shared" ca="1" si="112"/>
        <v>1.1518894544512428</v>
      </c>
      <c r="U149" s="58">
        <f t="shared" ca="1" si="112"/>
        <v>1.198534227200498</v>
      </c>
      <c r="V149" s="58">
        <f t="shared" ca="1" si="112"/>
        <v>1.2477256636045144</v>
      </c>
      <c r="W149" s="58">
        <f t="shared" ca="1" si="112"/>
        <v>1.2986820362780094</v>
      </c>
      <c r="X149" s="58">
        <f t="shared" ca="1" si="112"/>
        <v>1.3516596705923796</v>
      </c>
      <c r="Y149" s="58">
        <f t="shared" ca="1" si="112"/>
        <v>1.4063026128647773</v>
      </c>
      <c r="Z149" s="58">
        <f t="shared" ca="1" si="112"/>
        <v>1.4625091381688997</v>
      </c>
      <c r="AA149" s="58">
        <f t="shared" ca="1" si="112"/>
        <v>1.5203175419301467</v>
      </c>
      <c r="AB149" s="58">
        <f t="shared" ca="1" si="112"/>
        <v>1.5795219967947203</v>
      </c>
      <c r="AC149" s="58">
        <f t="shared" ca="1" si="112"/>
        <v>1.6404109487279692</v>
      </c>
      <c r="AD149" s="26"/>
      <c r="AE149" s="26"/>
    </row>
    <row r="150" spans="1:31" x14ac:dyDescent="0.2">
      <c r="A150" s="3" t="s">
        <v>401</v>
      </c>
      <c r="B150" s="4" t="str">
        <f>$B$46</f>
        <v>From Fiscal Forecasts</v>
      </c>
      <c r="F150" s="21">
        <f>'Fiscal Forecasts'!F$211</f>
        <v>2.468</v>
      </c>
      <c r="G150" s="21">
        <f>'Fiscal Forecasts'!G$211</f>
        <v>2.718</v>
      </c>
      <c r="H150" s="21">
        <f>'Fiscal Forecasts'!H$211</f>
        <v>2.88</v>
      </c>
      <c r="I150" s="21">
        <f>'Fiscal Forecasts'!I$211</f>
        <v>3.2610000000000001</v>
      </c>
      <c r="J150" s="21">
        <f>'Fiscal Forecasts'!J$211</f>
        <v>3.5859999999999999</v>
      </c>
      <c r="K150" s="21">
        <f>'Fiscal Forecasts'!K$211</f>
        <v>3.6949999999999998</v>
      </c>
      <c r="L150" s="21">
        <f>'Fiscal Forecasts'!L$211</f>
        <v>3.4369999999999998</v>
      </c>
      <c r="M150" s="21">
        <f>'Fiscal Forecasts'!M$211</f>
        <v>3.6</v>
      </c>
      <c r="N150" s="21">
        <f>'Fiscal Forecasts'!N$211</f>
        <v>3.2759999999999998</v>
      </c>
      <c r="O150" s="24">
        <f>'Fiscal Forecasts'!O$211</f>
        <v>2.7389999999999999</v>
      </c>
      <c r="P150" s="24">
        <f>'Fiscal Forecasts'!P$211</f>
        <v>2.6709999999999998</v>
      </c>
      <c r="Q150" s="24">
        <f>'Fiscal Forecasts'!Q$211</f>
        <v>2.7789999999999999</v>
      </c>
      <c r="R150" s="24">
        <f>'Fiscal Forecasts'!R$211</f>
        <v>2.9289999999999998</v>
      </c>
      <c r="S150" s="24">
        <f>'Fiscal Forecasts'!S$211</f>
        <v>3.0619999999999998</v>
      </c>
      <c r="T150" s="26">
        <f>S$150*(Tracks!T$29-Tracks!T$30)/(Tracks!S$29-Tracks!S$30)</f>
        <v>3.2109434010093638</v>
      </c>
      <c r="U150" s="26">
        <f>T$150*(Tracks!U$29-Tracks!U$30)/(Tracks!T$29-Tracks!T$30)</f>
        <v>3.3594438274625769</v>
      </c>
      <c r="V150" s="26">
        <f>U$150*(Tracks!V$29-Tracks!V$30)/(Tracks!U$29-Tracks!U$30)</f>
        <v>3.5208044043418871</v>
      </c>
      <c r="W150" s="26">
        <f>V$150*(Tracks!W$29-Tracks!W$30)/(Tracks!V$29-Tracks!V$30)</f>
        <v>3.6781681736626006</v>
      </c>
      <c r="X150" s="26">
        <f>W$150*(Tracks!X$29-Tracks!X$30)/(Tracks!W$29-Tracks!W$30)</f>
        <v>3.8445935045504984</v>
      </c>
      <c r="Y150" s="26">
        <f>X$150*(Tracks!Y$29-Tracks!Y$30)/(Tracks!X$29-Tracks!X$30)</f>
        <v>4.0173044549036394</v>
      </c>
      <c r="Z150" s="26">
        <f>Y$150*(Tracks!Z$29-Tracks!Z$30)/(Tracks!Y$29-Tracks!Y$30)</f>
        <v>4.2026315826517457</v>
      </c>
      <c r="AA150" s="26">
        <f>Z$150*(Tracks!AA$29-Tracks!AA$30)/(Tracks!Z$29-Tracks!Z$30)</f>
        <v>4.3767080563198952</v>
      </c>
      <c r="AB150" s="26">
        <f>AA$150*(Tracks!AB$29-Tracks!AB$30)/(Tracks!AA$29-Tracks!AA$30)</f>
        <v>4.567591739223765</v>
      </c>
      <c r="AC150" s="26">
        <f>AB$150*(Tracks!AC$29-Tracks!AC$30)/(Tracks!AB$29-Tracks!AB$30)</f>
        <v>4.7572997831673645</v>
      </c>
      <c r="AD150" s="26"/>
      <c r="AE150" s="26"/>
    </row>
    <row r="151" spans="1:31" x14ac:dyDescent="0.2">
      <c r="A151" s="3" t="s">
        <v>402</v>
      </c>
      <c r="B151" s="4" t="str">
        <f>$B$46</f>
        <v>From Fiscal Forecasts</v>
      </c>
      <c r="F151" s="21">
        <f>'Fiscal Forecasts'!F$212</f>
        <v>8.4000000000000005E-2</v>
      </c>
      <c r="G151" s="21">
        <f>'Fiscal Forecasts'!G$212</f>
        <v>8.5999999999999993E-2</v>
      </c>
      <c r="H151" s="21">
        <f>'Fiscal Forecasts'!H$212</f>
        <v>8.5999999999999993E-2</v>
      </c>
      <c r="I151" s="21">
        <f>'Fiscal Forecasts'!I$212</f>
        <v>8.5999999999999993E-2</v>
      </c>
      <c r="J151" s="21">
        <f>'Fiscal Forecasts'!J$212</f>
        <v>8.7999999999999995E-2</v>
      </c>
      <c r="K151" s="21">
        <f>'Fiscal Forecasts'!K$212</f>
        <v>0.107</v>
      </c>
      <c r="L151" s="21">
        <f>'Fiscal Forecasts'!L$212</f>
        <v>0.24199999999999999</v>
      </c>
      <c r="M151" s="21">
        <f>'Fiscal Forecasts'!M$212</f>
        <v>0.27400000000000002</v>
      </c>
      <c r="N151" s="21">
        <f>'Fiscal Forecasts'!N$212</f>
        <v>0.28100000000000003</v>
      </c>
      <c r="O151" s="24">
        <f>'Fiscal Forecasts'!O$212</f>
        <v>0.28100000000000003</v>
      </c>
      <c r="P151" s="24">
        <f>'Fiscal Forecasts'!P$212</f>
        <v>0.28299999999999997</v>
      </c>
      <c r="Q151" s="24">
        <f>'Fiscal Forecasts'!Q$212</f>
        <v>0.28599999999999998</v>
      </c>
      <c r="R151" s="24">
        <f>'Fiscal Forecasts'!R$212</f>
        <v>0.28899999999999998</v>
      </c>
      <c r="S151" s="24">
        <f>'Fiscal Forecasts'!S$212</f>
        <v>0.28899999999999998</v>
      </c>
      <c r="T151" s="26">
        <f t="shared" ref="T151:AC151" ca="1" si="113">S$151*T$11/S$11</f>
        <v>0.30183525653910243</v>
      </c>
      <c r="U151" s="26">
        <f t="shared" ca="1" si="113"/>
        <v>0.31521579189357291</v>
      </c>
      <c r="V151" s="26">
        <f t="shared" ca="1" si="113"/>
        <v>0.32936596057056378</v>
      </c>
      <c r="W151" s="26">
        <f t="shared" ca="1" si="113"/>
        <v>0.34404212517164778</v>
      </c>
      <c r="X151" s="26">
        <f t="shared" ca="1" si="113"/>
        <v>0.3593235641736448</v>
      </c>
      <c r="Y151" s="26">
        <f t="shared" ca="1" si="113"/>
        <v>0.37509907466131476</v>
      </c>
      <c r="Z151" s="26">
        <f t="shared" ca="1" si="113"/>
        <v>0.39133653162336013</v>
      </c>
      <c r="AA151" s="26">
        <f t="shared" ca="1" si="113"/>
        <v>0.40804735899251637</v>
      </c>
      <c r="AB151" s="26">
        <f t="shared" ca="1" si="113"/>
        <v>0.42516702744632312</v>
      </c>
      <c r="AC151" s="26">
        <f t="shared" ca="1" si="113"/>
        <v>0.44278475977914133</v>
      </c>
      <c r="AD151" s="26"/>
      <c r="AE151" s="26"/>
    </row>
    <row r="152" spans="1:31" x14ac:dyDescent="0.2">
      <c r="A152" s="3" t="s">
        <v>405</v>
      </c>
      <c r="B152" s="4" t="str">
        <f>$B$46</f>
        <v>From Fiscal Forecasts</v>
      </c>
      <c r="F152" s="21">
        <f>'Fiscal Forecasts'!F$214-SUM(F$147:F$148)</f>
        <v>0.30800000000000005</v>
      </c>
      <c r="G152" s="21">
        <f>'Fiscal Forecasts'!G$214-SUM(G$147:G$148)</f>
        <v>0.34200000000000003</v>
      </c>
      <c r="H152" s="21">
        <f>'Fiscal Forecasts'!H$214-SUM(H$147:H$148)</f>
        <v>0.34399999999999997</v>
      </c>
      <c r="I152" s="21">
        <f>'Fiscal Forecasts'!I$214-SUM(I$147:I$148)</f>
        <v>0.32000000000000006</v>
      </c>
      <c r="J152" s="21">
        <f>'Fiscal Forecasts'!J$214-SUM(J$147:J$148)</f>
        <v>0.33199999999999985</v>
      </c>
      <c r="K152" s="21">
        <f>'Fiscal Forecasts'!K$214-SUM(K$147:K$148)</f>
        <v>0.39300000000000002</v>
      </c>
      <c r="L152" s="21">
        <f>'Fiscal Forecasts'!L$214-SUM(L$147:L$148)</f>
        <v>0.36</v>
      </c>
      <c r="M152" s="21">
        <f>'Fiscal Forecasts'!M$214-SUM(M$147:M$148)</f>
        <v>0.38200000000000001</v>
      </c>
      <c r="N152" s="21">
        <f>'Fiscal Forecasts'!N$214-SUM(N$147:N$148)</f>
        <v>0.40300000000000002</v>
      </c>
      <c r="O152" s="24">
        <f>'Fiscal Forecasts'!O$214-SUM(O$147:O$148)</f>
        <v>0.38900000000000001</v>
      </c>
      <c r="P152" s="24">
        <f>'Fiscal Forecasts'!P$214-SUM(P$147:P$148)</f>
        <v>0.39100000000000001</v>
      </c>
      <c r="Q152" s="24">
        <f>'Fiscal Forecasts'!Q$214-SUM(Q$147:Q$148)</f>
        <v>0.4049999999999998</v>
      </c>
      <c r="R152" s="24">
        <f>'Fiscal Forecasts'!R$214-SUM(R$147:R$148)</f>
        <v>0.41000000000000014</v>
      </c>
      <c r="S152" s="24">
        <f>'Fiscal Forecasts'!S$214-SUM(S$147:S$148)</f>
        <v>0.42100000000000004</v>
      </c>
      <c r="T152" s="26">
        <f t="shared" ref="T152:AC152" ca="1" si="114">S$152*T$11/S$11</f>
        <v>0.43969772665384826</v>
      </c>
      <c r="U152" s="26">
        <f t="shared" ca="1" si="114"/>
        <v>0.45918978680690042</v>
      </c>
      <c r="V152" s="26">
        <f t="shared" ca="1" si="114"/>
        <v>0.47980300830521583</v>
      </c>
      <c r="W152" s="26">
        <f t="shared" ca="1" si="114"/>
        <v>0.50118247300091257</v>
      </c>
      <c r="X152" s="26">
        <f t="shared" ca="1" si="114"/>
        <v>0.52344366960935806</v>
      </c>
      <c r="Y152" s="26">
        <f t="shared" ca="1" si="114"/>
        <v>0.54642460357236511</v>
      </c>
      <c r="Z152" s="26">
        <f t="shared" ca="1" si="114"/>
        <v>0.57007847686309565</v>
      </c>
      <c r="AA152" s="26">
        <f t="shared" ca="1" si="114"/>
        <v>0.59442193126591492</v>
      </c>
      <c r="AB152" s="26">
        <f t="shared" ca="1" si="114"/>
        <v>0.6193609638577926</v>
      </c>
      <c r="AC152" s="26">
        <f t="shared" ca="1" si="114"/>
        <v>0.64502554971286685</v>
      </c>
      <c r="AD152" s="26"/>
      <c r="AE152" s="26"/>
    </row>
    <row r="153" spans="1:31" x14ac:dyDescent="0.2">
      <c r="A153" s="31" t="s">
        <v>406</v>
      </c>
      <c r="F153" s="56">
        <f>SUM(F$149:F$152)</f>
        <v>3.4960000000000004</v>
      </c>
      <c r="G153" s="56">
        <f t="shared" ref="G153:AC153" si="115">SUM(G$149:G$152)</f>
        <v>3.879</v>
      </c>
      <c r="H153" s="56">
        <f t="shared" si="115"/>
        <v>4.1179999999999994</v>
      </c>
      <c r="I153" s="56">
        <f t="shared" si="115"/>
        <v>4.6820000000000004</v>
      </c>
      <c r="J153" s="56">
        <f t="shared" si="115"/>
        <v>5.2809999999999997</v>
      </c>
      <c r="K153" s="56">
        <f t="shared" si="115"/>
        <v>5.13</v>
      </c>
      <c r="L153" s="56">
        <f t="shared" si="115"/>
        <v>5.1720000000000006</v>
      </c>
      <c r="M153" s="56">
        <f t="shared" si="115"/>
        <v>5.1339999999999995</v>
      </c>
      <c r="N153" s="56">
        <f t="shared" si="115"/>
        <v>4.9529999999999994</v>
      </c>
      <c r="O153" s="57">
        <f t="shared" si="115"/>
        <v>4.4589999999999996</v>
      </c>
      <c r="P153" s="57">
        <f t="shared" si="115"/>
        <v>4.4110000000000005</v>
      </c>
      <c r="Q153" s="57">
        <f t="shared" si="115"/>
        <v>4.5459999999999994</v>
      </c>
      <c r="R153" s="57">
        <f t="shared" si="115"/>
        <v>4.7189999999999994</v>
      </c>
      <c r="S153" s="57">
        <f t="shared" si="115"/>
        <v>4.8789999999999996</v>
      </c>
      <c r="T153" s="58">
        <f t="shared" ca="1" si="115"/>
        <v>5.1043658386535569</v>
      </c>
      <c r="U153" s="58">
        <f t="shared" ca="1" si="115"/>
        <v>5.3323836333635484</v>
      </c>
      <c r="V153" s="58">
        <f t="shared" ca="1" si="115"/>
        <v>5.5776990368221808</v>
      </c>
      <c r="W153" s="58">
        <f t="shared" ca="1" si="115"/>
        <v>5.8220748081131699</v>
      </c>
      <c r="X153" s="58">
        <f t="shared" ca="1" si="115"/>
        <v>6.0790204089258815</v>
      </c>
      <c r="Y153" s="58">
        <f t="shared" ca="1" si="115"/>
        <v>6.3451307460020976</v>
      </c>
      <c r="Z153" s="58">
        <f t="shared" ca="1" si="115"/>
        <v>6.6265557293071007</v>
      </c>
      <c r="AA153" s="58">
        <f t="shared" ca="1" si="115"/>
        <v>6.8994948885084728</v>
      </c>
      <c r="AB153" s="58">
        <f t="shared" ca="1" si="115"/>
        <v>7.191641727322601</v>
      </c>
      <c r="AC153" s="58">
        <f t="shared" ca="1" si="115"/>
        <v>7.4855210413873419</v>
      </c>
      <c r="AD153" s="26"/>
      <c r="AE153" s="26"/>
    </row>
    <row r="154" spans="1:31" x14ac:dyDescent="0.2">
      <c r="AD154" s="26"/>
      <c r="AE154" s="26"/>
    </row>
    <row r="155" spans="1:31" x14ac:dyDescent="0.2">
      <c r="A155" s="31" t="s">
        <v>407</v>
      </c>
      <c r="B155" s="4" t="str">
        <f>$B$46</f>
        <v>From Fiscal Forecasts</v>
      </c>
      <c r="F155" s="23">
        <f>'Fiscal Forecasts'!F$165</f>
        <v>1.095</v>
      </c>
      <c r="G155" s="23">
        <f>'Fiscal Forecasts'!G$165</f>
        <v>1.097</v>
      </c>
      <c r="H155" s="23">
        <f>'Fiscal Forecasts'!H$165</f>
        <v>1.2370000000000001</v>
      </c>
      <c r="I155" s="23">
        <f>'Fiscal Forecasts'!I$165</f>
        <v>1.387</v>
      </c>
      <c r="J155" s="23">
        <f>'Fiscal Forecasts'!J$165</f>
        <v>1.4430000000000001</v>
      </c>
      <c r="K155" s="23">
        <f>'Fiscal Forecasts'!K$165</f>
        <v>1.448</v>
      </c>
      <c r="L155" s="23">
        <f>'Fiscal Forecasts'!L$165</f>
        <v>1.4610000000000001</v>
      </c>
      <c r="M155" s="23">
        <f>'Fiscal Forecasts'!M$165</f>
        <v>1.488</v>
      </c>
      <c r="N155" s="23">
        <f>'Fiscal Forecasts'!N$165</f>
        <v>1.393</v>
      </c>
      <c r="O155" s="25">
        <f>'Fiscal Forecasts'!O$165</f>
        <v>1.409</v>
      </c>
      <c r="P155" s="25">
        <f>'Fiscal Forecasts'!P$165</f>
        <v>1.4370000000000001</v>
      </c>
      <c r="Q155" s="25">
        <f>'Fiscal Forecasts'!Q$165</f>
        <v>1.5149999999999999</v>
      </c>
      <c r="R155" s="25">
        <f>'Fiscal Forecasts'!R$165</f>
        <v>1.5509999999999999</v>
      </c>
      <c r="S155" s="25">
        <f>'Fiscal Forecasts'!S$165</f>
        <v>1.56</v>
      </c>
      <c r="T155" s="11">
        <f t="shared" ref="T155:AC155" ca="1" si="116">S$155*T$11/S$11</f>
        <v>1.6292837377197225</v>
      </c>
      <c r="U155" s="11">
        <f t="shared" ca="1" si="116"/>
        <v>1.7015108489756874</v>
      </c>
      <c r="V155" s="11">
        <f t="shared" ca="1" si="116"/>
        <v>1.7778923823186137</v>
      </c>
      <c r="W155" s="11">
        <f t="shared" ca="1" si="116"/>
        <v>1.8571132016185825</v>
      </c>
      <c r="X155" s="11">
        <f t="shared" ca="1" si="116"/>
        <v>1.9396012460584282</v>
      </c>
      <c r="Y155" s="11">
        <f t="shared" ca="1" si="116"/>
        <v>2.0247562507669579</v>
      </c>
      <c r="Z155" s="11">
        <f t="shared" ca="1" si="116"/>
        <v>2.1124048073786907</v>
      </c>
      <c r="AA155" s="11">
        <f t="shared" ca="1" si="116"/>
        <v>2.2026085814128904</v>
      </c>
      <c r="AB155" s="11">
        <f t="shared" ca="1" si="116"/>
        <v>2.2950192484991829</v>
      </c>
      <c r="AC155" s="11">
        <f t="shared" ca="1" si="116"/>
        <v>2.3901184264894817</v>
      </c>
      <c r="AD155" s="26"/>
      <c r="AE155" s="26"/>
    </row>
    <row r="156" spans="1:31" x14ac:dyDescent="0.2">
      <c r="A156" s="31" t="s">
        <v>408</v>
      </c>
      <c r="B156" s="4" t="str">
        <f>$B$46</f>
        <v>From Fiscal Forecasts</v>
      </c>
      <c r="F156" s="23">
        <f>'Fiscal Forecasts'!F$11</f>
        <v>12.613</v>
      </c>
      <c r="G156" s="23">
        <f>'Fiscal Forecasts'!G$11</f>
        <v>15.398999999999999</v>
      </c>
      <c r="H156" s="23">
        <f>'Fiscal Forecasts'!H$11</f>
        <v>15.356</v>
      </c>
      <c r="I156" s="23">
        <f>'Fiscal Forecasts'!I$11</f>
        <v>14.331</v>
      </c>
      <c r="J156" s="23">
        <f>'Fiscal Forecasts'!J$11</f>
        <v>15.084</v>
      </c>
      <c r="K156" s="23">
        <f>'Fiscal Forecasts'!K$11</f>
        <v>16.785</v>
      </c>
      <c r="L156" s="23">
        <f>'Fiscal Forecasts'!L$11</f>
        <v>16.713000000000001</v>
      </c>
      <c r="M156" s="23">
        <f>'Fiscal Forecasts'!M$11</f>
        <v>16.472000000000001</v>
      </c>
      <c r="N156" s="23">
        <f>'Fiscal Forecasts'!N$11</f>
        <v>16.866</v>
      </c>
      <c r="O156" s="25">
        <f>'Fiscal Forecasts'!O$11</f>
        <v>17.039000000000001</v>
      </c>
      <c r="P156" s="25">
        <f>'Fiscal Forecasts'!P$11</f>
        <v>17.57</v>
      </c>
      <c r="Q156" s="25">
        <f>'Fiscal Forecasts'!Q$11</f>
        <v>18.28</v>
      </c>
      <c r="R156" s="25">
        <f>'Fiscal Forecasts'!R$11</f>
        <v>18.5</v>
      </c>
      <c r="S156" s="25">
        <f>'Fiscal Forecasts'!S$11</f>
        <v>18.84</v>
      </c>
      <c r="T156" s="11">
        <f t="shared" ref="T156:AC156" ca="1" si="117">SUM(T$155,(S$156-S$155)*T$11/S$11)</f>
        <v>19.676734370922802</v>
      </c>
      <c r="U156" s="11">
        <f t="shared" ca="1" si="117"/>
        <v>20.549015637629456</v>
      </c>
      <c r="V156" s="11">
        <f t="shared" ca="1" si="117"/>
        <v>21.471469540309414</v>
      </c>
      <c r="W156" s="11">
        <f t="shared" ca="1" si="117"/>
        <v>22.428213281085963</v>
      </c>
      <c r="X156" s="11">
        <f t="shared" ca="1" si="117"/>
        <v>23.42441504855179</v>
      </c>
      <c r="Y156" s="11">
        <f t="shared" ca="1" si="117"/>
        <v>24.452825490031728</v>
      </c>
      <c r="Z156" s="11">
        <f t="shared" ca="1" si="117"/>
        <v>25.511350366034961</v>
      </c>
      <c r="AA156" s="11">
        <f t="shared" ca="1" si="117"/>
        <v>26.600734406294141</v>
      </c>
      <c r="AB156" s="11">
        <f t="shared" ca="1" si="117"/>
        <v>27.716770924182448</v>
      </c>
      <c r="AC156" s="11">
        <f t="shared" ca="1" si="117"/>
        <v>28.865276381449906</v>
      </c>
      <c r="AD156" s="26"/>
      <c r="AE156" s="26"/>
    </row>
    <row r="157" spans="1:31" x14ac:dyDescent="0.2">
      <c r="AD157" s="26"/>
      <c r="AE157" s="26"/>
    </row>
    <row r="158" spans="1:31" x14ac:dyDescent="0.2">
      <c r="A158" s="31" t="s">
        <v>226</v>
      </c>
      <c r="AD158" s="26"/>
      <c r="AE158" s="26"/>
    </row>
    <row r="159" spans="1:31" x14ac:dyDescent="0.2">
      <c r="A159" s="3" t="s">
        <v>409</v>
      </c>
      <c r="F159" s="21">
        <f>F$392</f>
        <v>0.36</v>
      </c>
      <c r="G159" s="21">
        <f t="shared" ref="G159:AC159" si="118">G$392</f>
        <v>0.40699999999999997</v>
      </c>
      <c r="H159" s="21">
        <f t="shared" si="118"/>
        <v>0.46500000000000002</v>
      </c>
      <c r="I159" s="21">
        <f t="shared" si="118"/>
        <v>0.46300000000000002</v>
      </c>
      <c r="J159" s="21">
        <f t="shared" si="118"/>
        <v>0.48399999999999999</v>
      </c>
      <c r="K159" s="21">
        <f t="shared" si="118"/>
        <v>0.52600000000000002</v>
      </c>
      <c r="L159" s="21">
        <f t="shared" si="118"/>
        <v>0.59</v>
      </c>
      <c r="M159" s="21">
        <f t="shared" si="118"/>
        <v>0.57899999999999996</v>
      </c>
      <c r="N159" s="21">
        <f t="shared" si="118"/>
        <v>0.60399999999999998</v>
      </c>
      <c r="O159" s="24">
        <f t="shared" si="118"/>
        <v>0.59599999999999997</v>
      </c>
      <c r="P159" s="24">
        <f t="shared" si="118"/>
        <v>0.60899999999999999</v>
      </c>
      <c r="Q159" s="24">
        <f t="shared" si="118"/>
        <v>0.622</v>
      </c>
      <c r="R159" s="24">
        <f t="shared" si="118"/>
        <v>0.629</v>
      </c>
      <c r="S159" s="24">
        <f t="shared" si="118"/>
        <v>0.63500000000000001</v>
      </c>
      <c r="T159" s="26">
        <f t="shared" si="118"/>
        <v>0.66</v>
      </c>
      <c r="U159" s="26">
        <f t="shared" si="118"/>
        <v>0.68100000000000005</v>
      </c>
      <c r="V159" s="26">
        <f t="shared" si="118"/>
        <v>0.69300000000000006</v>
      </c>
      <c r="W159" s="26">
        <f t="shared" si="118"/>
        <v>0.70800000000000007</v>
      </c>
      <c r="X159" s="26">
        <f t="shared" si="118"/>
        <v>0.72500000000000009</v>
      </c>
      <c r="Y159" s="26">
        <f t="shared" si="118"/>
        <v>0.7410000000000001</v>
      </c>
      <c r="Z159" s="26">
        <f t="shared" si="118"/>
        <v>0.75700000000000012</v>
      </c>
      <c r="AA159" s="26">
        <f t="shared" si="118"/>
        <v>0.77800000000000014</v>
      </c>
      <c r="AB159" s="26">
        <f t="shared" si="118"/>
        <v>0.79700000000000015</v>
      </c>
      <c r="AC159" s="26">
        <f t="shared" si="118"/>
        <v>0.81900000000000017</v>
      </c>
      <c r="AD159" s="26"/>
      <c r="AE159" s="26"/>
    </row>
    <row r="160" spans="1:31" x14ac:dyDescent="0.2">
      <c r="A160" s="3" t="s">
        <v>787</v>
      </c>
      <c r="F160" s="21">
        <f t="shared" ref="F160:S160" si="119">F$362</f>
        <v>0.436</v>
      </c>
      <c r="G160" s="21">
        <f t="shared" si="119"/>
        <v>0.38500000000000001</v>
      </c>
      <c r="H160" s="21">
        <f t="shared" si="119"/>
        <v>0.38300000000000001</v>
      </c>
      <c r="I160" s="21">
        <f t="shared" si="119"/>
        <v>0.433</v>
      </c>
      <c r="J160" s="21">
        <f t="shared" si="119"/>
        <v>0.51800000000000002</v>
      </c>
      <c r="K160" s="21">
        <f t="shared" si="119"/>
        <v>0.53900000000000003</v>
      </c>
      <c r="L160" s="21">
        <f t="shared" si="119"/>
        <v>0.59499999999999997</v>
      </c>
      <c r="M160" s="21">
        <f t="shared" si="119"/>
        <v>0.76700000000000002</v>
      </c>
      <c r="N160" s="21">
        <f t="shared" si="119"/>
        <v>0.76</v>
      </c>
      <c r="O160" s="24">
        <f t="shared" si="119"/>
        <v>0.79800000000000004</v>
      </c>
      <c r="P160" s="24">
        <f t="shared" si="119"/>
        <v>0.83699999999999997</v>
      </c>
      <c r="Q160" s="24">
        <f t="shared" si="119"/>
        <v>0.91200000000000003</v>
      </c>
      <c r="R160" s="24">
        <f t="shared" si="119"/>
        <v>0.99</v>
      </c>
      <c r="S160" s="24">
        <f t="shared" si="119"/>
        <v>1.075</v>
      </c>
      <c r="T160" s="26">
        <f t="shared" ref="T160:AC160" ca="1" si="120">T$362</f>
        <v>0.9908150991189868</v>
      </c>
      <c r="U160" s="26">
        <f t="shared" ca="1" si="120"/>
        <v>1.0756665620880363</v>
      </c>
      <c r="V160" s="26">
        <f t="shared" ca="1" si="120"/>
        <v>1.1926019085220114</v>
      </c>
      <c r="W160" s="26">
        <f t="shared" ca="1" si="120"/>
        <v>1.3336896425266791</v>
      </c>
      <c r="X160" s="26">
        <f t="shared" ca="1" si="120"/>
        <v>1.4782062864531975</v>
      </c>
      <c r="Y160" s="26">
        <f t="shared" ca="1" si="120"/>
        <v>1.6254554930256278</v>
      </c>
      <c r="Z160" s="26">
        <f t="shared" ca="1" si="120"/>
        <v>1.7743180324814587</v>
      </c>
      <c r="AA160" s="26">
        <f t="shared" ca="1" si="120"/>
        <v>1.9241435099380597</v>
      </c>
      <c r="AB160" s="26">
        <f t="shared" ca="1" si="120"/>
        <v>2.0748136077325032</v>
      </c>
      <c r="AC160" s="26">
        <f t="shared" ca="1" si="120"/>
        <v>2.2268010933948248</v>
      </c>
      <c r="AD160" s="26"/>
      <c r="AE160" s="26"/>
    </row>
    <row r="161" spans="1:31" x14ac:dyDescent="0.2">
      <c r="A161" s="3" t="s">
        <v>410</v>
      </c>
      <c r="B161" s="4" t="str">
        <f>$B$46</f>
        <v>From Fiscal Forecasts</v>
      </c>
      <c r="F161" s="21">
        <f>'Fiscal Forecasts'!F$217-SUM(F$159:F$160)</f>
        <v>1.784</v>
      </c>
      <c r="G161" s="21">
        <f>'Fiscal Forecasts'!G$217-SUM(G$159:G$160)</f>
        <v>1.5519999999999998</v>
      </c>
      <c r="H161" s="21">
        <f>'Fiscal Forecasts'!H$217-SUM(H$159:H$160)</f>
        <v>1.024</v>
      </c>
      <c r="I161" s="21">
        <f>'Fiscal Forecasts'!I$217-SUM(I$159:I$160)</f>
        <v>1.2389999999999999</v>
      </c>
      <c r="J161" s="21">
        <f>'Fiscal Forecasts'!J$217-SUM(J$159:J$160)</f>
        <v>1.167</v>
      </c>
      <c r="K161" s="21">
        <f>'Fiscal Forecasts'!K$217-SUM(K$159:K$160)</f>
        <v>0.73</v>
      </c>
      <c r="L161" s="21">
        <f>'Fiscal Forecasts'!L$217-SUM(L$159:L$160)</f>
        <v>0.91900000000000004</v>
      </c>
      <c r="M161" s="21">
        <f>'Fiscal Forecasts'!M$217-SUM(M$159:M$160)</f>
        <v>0.97900000000000009</v>
      </c>
      <c r="N161" s="21">
        <f>'Fiscal Forecasts'!N$217-SUM(N$159:N$160)</f>
        <v>1.0880000000000001</v>
      </c>
      <c r="O161" s="24">
        <f>'Fiscal Forecasts'!O$217-SUM(O$159:O$160)</f>
        <v>1.4449999999999998</v>
      </c>
      <c r="P161" s="24">
        <f>'Fiscal Forecasts'!P$217-SUM(P$159:P$160)</f>
        <v>1.4690000000000001</v>
      </c>
      <c r="Q161" s="24">
        <f>'Fiscal Forecasts'!Q$217-SUM(Q$159:Q$160)</f>
        <v>1.5730000000000002</v>
      </c>
      <c r="R161" s="24">
        <f>'Fiscal Forecasts'!R$217-SUM(R$159:R$160)</f>
        <v>1.776</v>
      </c>
      <c r="S161" s="24">
        <f>'Fiscal Forecasts'!S$217-SUM(S$159:S$160)</f>
        <v>1.8770000000000002</v>
      </c>
      <c r="T161" s="26">
        <f t="shared" ref="T161:AC161" ca="1" si="121">T$32*AVERAGE(SUM(S$345,S$355,S$383)-SUM(S$370-S$348,S$395),SUM(T$345,T$355,T$383)-SUM(T$370-T$348,T$395))</f>
        <v>1.7270066753067617</v>
      </c>
      <c r="U161" s="26">
        <f t="shared" ca="1" si="121"/>
        <v>1.8856006355065382</v>
      </c>
      <c r="V161" s="26">
        <f t="shared" ca="1" si="121"/>
        <v>2.0270707926440701</v>
      </c>
      <c r="W161" s="26">
        <f t="shared" ca="1" si="121"/>
        <v>2.1235444421933529</v>
      </c>
      <c r="X161" s="26">
        <f t="shared" ca="1" si="121"/>
        <v>2.2216512283236889</v>
      </c>
      <c r="Y161" s="26">
        <f t="shared" ca="1" si="121"/>
        <v>2.3209953881264784</v>
      </c>
      <c r="Z161" s="26">
        <f t="shared" ca="1" si="121"/>
        <v>2.4221659483489959</v>
      </c>
      <c r="AA161" s="26">
        <f t="shared" ca="1" si="121"/>
        <v>2.5262923899041074</v>
      </c>
      <c r="AB161" s="26">
        <f t="shared" ca="1" si="121"/>
        <v>2.6332068838631839</v>
      </c>
      <c r="AC161" s="26">
        <f t="shared" ca="1" si="121"/>
        <v>2.7429874689894218</v>
      </c>
      <c r="AD161" s="26"/>
      <c r="AE161" s="26"/>
    </row>
    <row r="162" spans="1:31" x14ac:dyDescent="0.2">
      <c r="A162" s="31" t="s">
        <v>411</v>
      </c>
      <c r="F162" s="56">
        <f>SUM(F$159:F$161)</f>
        <v>2.58</v>
      </c>
      <c r="G162" s="56">
        <f t="shared" ref="G162:AC162" si="122">SUM(G$159:G$161)</f>
        <v>2.3439999999999999</v>
      </c>
      <c r="H162" s="56">
        <f t="shared" si="122"/>
        <v>1.8720000000000001</v>
      </c>
      <c r="I162" s="56">
        <f t="shared" si="122"/>
        <v>2.1349999999999998</v>
      </c>
      <c r="J162" s="56">
        <f t="shared" si="122"/>
        <v>2.169</v>
      </c>
      <c r="K162" s="56">
        <f t="shared" si="122"/>
        <v>1.7949999999999999</v>
      </c>
      <c r="L162" s="56">
        <f t="shared" si="122"/>
        <v>2.1040000000000001</v>
      </c>
      <c r="M162" s="56">
        <f t="shared" si="122"/>
        <v>2.3250000000000002</v>
      </c>
      <c r="N162" s="56">
        <f t="shared" si="122"/>
        <v>2.452</v>
      </c>
      <c r="O162" s="57">
        <f t="shared" si="122"/>
        <v>2.839</v>
      </c>
      <c r="P162" s="57">
        <f t="shared" si="122"/>
        <v>2.915</v>
      </c>
      <c r="Q162" s="57">
        <f t="shared" si="122"/>
        <v>3.1070000000000002</v>
      </c>
      <c r="R162" s="57">
        <f t="shared" si="122"/>
        <v>3.395</v>
      </c>
      <c r="S162" s="57">
        <f t="shared" si="122"/>
        <v>3.5870000000000002</v>
      </c>
      <c r="T162" s="58">
        <f t="shared" ca="1" si="122"/>
        <v>3.3778217744257484</v>
      </c>
      <c r="U162" s="58">
        <f t="shared" ca="1" si="122"/>
        <v>3.6422671975945748</v>
      </c>
      <c r="V162" s="58">
        <f t="shared" ca="1" si="122"/>
        <v>3.9126727011660813</v>
      </c>
      <c r="W162" s="58">
        <f t="shared" ca="1" si="122"/>
        <v>4.1652340847200318</v>
      </c>
      <c r="X162" s="58">
        <f t="shared" ca="1" si="122"/>
        <v>4.4248575147768872</v>
      </c>
      <c r="Y162" s="58">
        <f t="shared" ca="1" si="122"/>
        <v>4.6874508811521061</v>
      </c>
      <c r="Z162" s="58">
        <f t="shared" ca="1" si="122"/>
        <v>4.9534839808304554</v>
      </c>
      <c r="AA162" s="58">
        <f t="shared" ca="1" si="122"/>
        <v>5.2284358998421672</v>
      </c>
      <c r="AB162" s="58">
        <f t="shared" ca="1" si="122"/>
        <v>5.5050204915956868</v>
      </c>
      <c r="AC162" s="58">
        <f t="shared" ca="1" si="122"/>
        <v>5.788788562384247</v>
      </c>
      <c r="AD162" s="26"/>
      <c r="AE162" s="26"/>
    </row>
    <row r="163" spans="1:31" x14ac:dyDescent="0.2">
      <c r="A163" s="3" t="s">
        <v>416</v>
      </c>
      <c r="B163" s="4" t="str">
        <f>$B$46</f>
        <v>From Fiscal Forecasts</v>
      </c>
      <c r="F163" s="21">
        <f>'Fiscal Forecasts'!F$218</f>
        <v>0.75600000000000001</v>
      </c>
      <c r="G163" s="21">
        <f>'Fiscal Forecasts'!G$218</f>
        <v>1.2330000000000001</v>
      </c>
      <c r="H163" s="21">
        <f>'Fiscal Forecasts'!H$218</f>
        <v>1.248</v>
      </c>
      <c r="I163" s="21">
        <f>'Fiscal Forecasts'!I$218</f>
        <v>1.1459999999999999</v>
      </c>
      <c r="J163" s="21">
        <f>'Fiscal Forecasts'!J$218</f>
        <v>1.234</v>
      </c>
      <c r="K163" s="21">
        <f>'Fiscal Forecasts'!K$218</f>
        <v>1.181</v>
      </c>
      <c r="L163" s="21">
        <f>'Fiscal Forecasts'!L$218</f>
        <v>1.27</v>
      </c>
      <c r="M163" s="21">
        <f>'Fiscal Forecasts'!M$218</f>
        <v>1.2490000000000001</v>
      </c>
      <c r="N163" s="21">
        <f>'Fiscal Forecasts'!N$218</f>
        <v>1.429</v>
      </c>
      <c r="O163" s="24">
        <f>'Fiscal Forecasts'!O$218</f>
        <v>1.552</v>
      </c>
      <c r="P163" s="24">
        <f>'Fiscal Forecasts'!P$218</f>
        <v>1.5029999999999999</v>
      </c>
      <c r="Q163" s="24">
        <f>'Fiscal Forecasts'!Q$218</f>
        <v>1.4930000000000001</v>
      </c>
      <c r="R163" s="24">
        <f>'Fiscal Forecasts'!R$218</f>
        <v>1.5469999999999999</v>
      </c>
      <c r="S163" s="24">
        <f>'Fiscal Forecasts'!S$218</f>
        <v>1.6040000000000001</v>
      </c>
      <c r="T163" s="26">
        <f>S$163*Tracks!T$33/Tracks!S$33</f>
        <v>1.6770001991813419</v>
      </c>
      <c r="U163" s="26">
        <f>T$163*Tracks!U$33/Tracks!T$33</f>
        <v>1.7598247661710711</v>
      </c>
      <c r="V163" s="26">
        <f>U$163*Tracks!V$33/Tracks!U$33</f>
        <v>1.8435286906475215</v>
      </c>
      <c r="W163" s="26">
        <f>V$163*Tracks!W$33/Tracks!V$33</f>
        <v>1.9297825225678458</v>
      </c>
      <c r="X163" s="26">
        <f>W$163*Tracks!X$33/Tracks!W$33</f>
        <v>2.0168458169216343</v>
      </c>
      <c r="Y163" s="26">
        <f>X$163*Tracks!Y$33/Tracks!X$33</f>
        <v>2.1064406227984431</v>
      </c>
      <c r="Z163" s="26">
        <f>Y$163*Tracks!Z$33/Tracks!Y$33</f>
        <v>2.2008519345370354</v>
      </c>
      <c r="AA163" s="26">
        <f>Z$163*Tracks!AA$33/Tracks!Z$33</f>
        <v>2.2982032960288459</v>
      </c>
      <c r="AB163" s="26">
        <f>AA$163*Tracks!AB$33/Tracks!AA$33</f>
        <v>2.3977784815401839</v>
      </c>
      <c r="AC163" s="26">
        <f>AB$163*Tracks!AC$33/Tracks!AB$33</f>
        <v>2.5004159113225364</v>
      </c>
      <c r="AD163" s="26"/>
      <c r="AE163" s="26"/>
    </row>
    <row r="164" spans="1:31" x14ac:dyDescent="0.2">
      <c r="A164" s="3" t="s">
        <v>417</v>
      </c>
      <c r="B164" s="4" t="str">
        <f>$B$46</f>
        <v>From Fiscal Forecasts</v>
      </c>
      <c r="F164" s="21">
        <f>'Fiscal Forecasts'!F$219</f>
        <v>0.48399999999999999</v>
      </c>
      <c r="G164" s="21">
        <f>'Fiscal Forecasts'!G$219</f>
        <v>0.70399999999999996</v>
      </c>
      <c r="H164" s="21">
        <f>'Fiscal Forecasts'!H$219</f>
        <v>0.77100000000000002</v>
      </c>
      <c r="I164" s="21">
        <f>'Fiscal Forecasts'!I$219</f>
        <v>0.626</v>
      </c>
      <c r="J164" s="21">
        <f>'Fiscal Forecasts'!J$219</f>
        <v>0.80100000000000005</v>
      </c>
      <c r="K164" s="21">
        <f>'Fiscal Forecasts'!K$219</f>
        <v>0.85799999999999998</v>
      </c>
      <c r="L164" s="21">
        <f>'Fiscal Forecasts'!L$219</f>
        <v>0.85599999999999998</v>
      </c>
      <c r="M164" s="21">
        <f>'Fiscal Forecasts'!M$219</f>
        <v>0.879</v>
      </c>
      <c r="N164" s="21">
        <f>'Fiscal Forecasts'!N$219</f>
        <v>1.0429999999999999</v>
      </c>
      <c r="O164" s="24">
        <f>'Fiscal Forecasts'!O$219</f>
        <v>1.054</v>
      </c>
      <c r="P164" s="24">
        <f>'Fiscal Forecasts'!P$219</f>
        <v>1.121</v>
      </c>
      <c r="Q164" s="24">
        <f>'Fiscal Forecasts'!Q$219</f>
        <v>1.272</v>
      </c>
      <c r="R164" s="24">
        <f>'Fiscal Forecasts'!R$219</f>
        <v>1.3480000000000001</v>
      </c>
      <c r="S164" s="24">
        <f>'Fiscal Forecasts'!S$219</f>
        <v>1.4470000000000001</v>
      </c>
      <c r="T164" s="26">
        <f t="shared" ref="T164:AC164" ca="1" si="123">T$32*AVERAGE(SUM(S$346-S$345,S$357,S$384),SUM(T$346-T$345,T$357,T$384))</f>
        <v>1.5333652548409122</v>
      </c>
      <c r="U164" s="26">
        <f t="shared" ca="1" si="123"/>
        <v>1.6605274605784837</v>
      </c>
      <c r="V164" s="26">
        <f t="shared" ca="1" si="123"/>
        <v>1.7738053283345077</v>
      </c>
      <c r="W164" s="26">
        <f t="shared" ca="1" si="123"/>
        <v>1.8498335853182051</v>
      </c>
      <c r="X164" s="26">
        <f t="shared" ca="1" si="123"/>
        <v>1.930065310319631</v>
      </c>
      <c r="Y164" s="26">
        <f t="shared" ca="1" si="123"/>
        <v>2.0145800000193885</v>
      </c>
      <c r="Z164" s="26">
        <f t="shared" ca="1" si="123"/>
        <v>2.102394128499653</v>
      </c>
      <c r="AA164" s="26">
        <f t="shared" ca="1" si="123"/>
        <v>2.1927739059448137</v>
      </c>
      <c r="AB164" s="26">
        <f t="shared" ca="1" si="123"/>
        <v>2.2855736600261918</v>
      </c>
      <c r="AC164" s="26">
        <f t="shared" ca="1" si="123"/>
        <v>2.380861126910935</v>
      </c>
      <c r="AD164" s="26"/>
      <c r="AE164" s="26"/>
    </row>
    <row r="165" spans="1:31" x14ac:dyDescent="0.2">
      <c r="A165" s="3" t="s">
        <v>418</v>
      </c>
      <c r="B165" s="4" t="str">
        <f>$B$46</f>
        <v>From Fiscal Forecasts</v>
      </c>
      <c r="F165" s="21">
        <f>'Fiscal Forecasts'!F$220</f>
        <v>-0.82499999999999996</v>
      </c>
      <c r="G165" s="21">
        <f>'Fiscal Forecasts'!G$220</f>
        <v>-1.0669999999999999</v>
      </c>
      <c r="H165" s="21">
        <f>'Fiscal Forecasts'!H$220</f>
        <v>-0.89400000000000002</v>
      </c>
      <c r="I165" s="21">
        <f>'Fiscal Forecasts'!I$220</f>
        <v>-1.5920000000000001</v>
      </c>
      <c r="J165" s="21">
        <f>'Fiscal Forecasts'!J$220</f>
        <v>-1.6339999999999999</v>
      </c>
      <c r="K165" s="21">
        <f>'Fiscal Forecasts'!K$220</f>
        <v>-1.071</v>
      </c>
      <c r="L165" s="21">
        <f>'Fiscal Forecasts'!L$220</f>
        <v>-1.2909999999999999</v>
      </c>
      <c r="M165" s="21">
        <f>'Fiscal Forecasts'!M$220</f>
        <v>-1.248</v>
      </c>
      <c r="N165" s="21">
        <f>'Fiscal Forecasts'!N$220</f>
        <v>-1.4</v>
      </c>
      <c r="O165" s="24">
        <f>'Fiscal Forecasts'!O$220</f>
        <v>-1.3779999999999999</v>
      </c>
      <c r="P165" s="24">
        <f>'Fiscal Forecasts'!P$220</f>
        <v>-1.276</v>
      </c>
      <c r="Q165" s="24">
        <f>'Fiscal Forecasts'!Q$220</f>
        <v>-1.2609999999999999</v>
      </c>
      <c r="R165" s="24">
        <f>'Fiscal Forecasts'!R$220</f>
        <v>-1.296</v>
      </c>
      <c r="S165" s="24">
        <f>'Fiscal Forecasts'!S$220</f>
        <v>-1.337</v>
      </c>
      <c r="T165" s="26">
        <f ca="1">IF(T$4=OFFSET(Choices!$B$10,0,$C$1),AVERAGE(Q$165/SUM(Q$162,Q$163,Q$164),R$165/SUM(R$162,R$163,R$164),S$165/SUM(S$162,S$163,S$164)),S$165/SUM(S$162,S$163,S$164))*SUM(T$162,T$163,T$164)</f>
        <v>-1.3664018482794738</v>
      </c>
      <c r="U165" s="26">
        <f ca="1">IF(U$4=OFFSET(Choices!$B$10,0,$C$1),AVERAGE(R$165/SUM(R$162,R$163,R$164),S$165/SUM(S$162,S$163,S$164),T$165/SUM(T$162,T$163,T$164)),T$165/SUM(T$162,T$163,T$164))*SUM(U$162,U$163,U$164)</f>
        <v>-1.464799936687849</v>
      </c>
      <c r="V165" s="26">
        <f ca="1">IF(V$4=OFFSET(Choices!$B$10,0,$C$1),AVERAGE(S$165/SUM(S$162,S$163,S$164),T$165/SUM(T$162,T$163,T$164),U$165/SUM(U$162,U$163,U$164)),U$165/SUM(U$162,U$163,U$164))*SUM(V$162,V$163,V$164)</f>
        <v>-1.5617369001808175</v>
      </c>
      <c r="W165" s="26">
        <f ca="1">IF(W$4=OFFSET(Choices!$B$10,0,$C$1),AVERAGE(T$165/SUM(T$162,T$163,T$164),U$165/SUM(U$162,U$163,U$164),V$165/SUM(V$162,V$163,V$164)),V$165/SUM(V$162,V$163,V$164))*SUM(W$162,W$163,W$164)</f>
        <v>-1.6477761804650211</v>
      </c>
      <c r="X165" s="26">
        <f ca="1">IF(X$4=OFFSET(Choices!$B$10,0,$C$1),AVERAGE(U$165/SUM(U$162,U$163,U$164),V$165/SUM(V$162,V$163,V$164),W$165/SUM(W$162,W$163,W$164)),W$165/SUM(W$162,W$163,W$164))*SUM(X$162,X$163,X$164)</f>
        <v>-1.7363198326281484</v>
      </c>
      <c r="Y165" s="26">
        <f ca="1">IF(Y$4=OFFSET(Choices!$B$10,0,$C$1),AVERAGE(V$165/SUM(V$162,V$163,V$164),W$165/SUM(W$162,W$163,W$164),X$165/SUM(X$162,X$163,X$164)),X$165/SUM(X$162,X$163,X$164))*SUM(Y$162,Y$163,Y$164)</f>
        <v>-1.8268927895021174</v>
      </c>
      <c r="Z165" s="26">
        <f ca="1">IF(Z$4=OFFSET(Choices!$B$10,0,$C$1),AVERAGE(W$165/SUM(W$162,W$163,W$164),X$165/SUM(X$162,X$163,X$164),Y$165/SUM(Y$162,Y$163,Y$164)),Y$165/SUM(Y$162,Y$163,Y$164))*SUM(Z$162,Z$163,Z$164)</f>
        <v>-1.919862414709155</v>
      </c>
      <c r="AA165" s="26">
        <f ca="1">IF(AA$4=OFFSET(Choices!$B$10,0,$C$1),AVERAGE(X$165/SUM(X$162,X$163,X$164),Y$165/SUM(Y$162,Y$163,Y$164),Z$165/SUM(Z$162,Z$163,Z$164)),Z$165/SUM(Z$162,Z$163,Z$164))*SUM(AA$162,AA$163,AA$164)</f>
        <v>-2.0158237108330375</v>
      </c>
      <c r="AB165" s="26">
        <f ca="1">IF(AB$4=OFFSET(Choices!$B$10,0,$C$1),AVERAGE(Y$165/SUM(Y$162,Y$163,Y$164),Z$165/SUM(Z$162,Z$163,Z$164),AA$165/SUM(AA$162,AA$163,AA$164)),AA$165/SUM(AA$162,AA$163,AA$164))*SUM(AB$162,AB$163,AB$164)</f>
        <v>-2.1130867587975568</v>
      </c>
      <c r="AC165" s="26">
        <f ca="1">IF(AC$4=OFFSET(Choices!$B$10,0,$C$1),AVERAGE(Z$165/SUM(Z$162,Z$163,Z$164),AA$165/SUM(AA$162,AA$163,AA$164),AB$165/SUM(AB$162,AB$163,AB$164)),AB$165/SUM(AB$162,AB$163,AB$164))*SUM(AC$162,AC$163,AC$164)</f>
        <v>-2.2129907442508792</v>
      </c>
      <c r="AD165" s="26"/>
      <c r="AE165" s="26"/>
    </row>
    <row r="166" spans="1:31" x14ac:dyDescent="0.2">
      <c r="A166" s="31" t="s">
        <v>419</v>
      </c>
      <c r="F166" s="56">
        <f>SUM(F$162:F$165)</f>
        <v>2.9950000000000001</v>
      </c>
      <c r="G166" s="56">
        <f t="shared" ref="G166:AC166" si="124">SUM(G$162:G$165)</f>
        <v>3.2139999999999995</v>
      </c>
      <c r="H166" s="56">
        <f t="shared" si="124"/>
        <v>2.9969999999999999</v>
      </c>
      <c r="I166" s="56">
        <f t="shared" si="124"/>
        <v>2.3149999999999995</v>
      </c>
      <c r="J166" s="56">
        <f t="shared" si="124"/>
        <v>2.57</v>
      </c>
      <c r="K166" s="56">
        <f t="shared" si="124"/>
        <v>2.7629999999999999</v>
      </c>
      <c r="L166" s="56">
        <f t="shared" si="124"/>
        <v>2.9390000000000005</v>
      </c>
      <c r="M166" s="56">
        <f t="shared" si="124"/>
        <v>3.2050000000000001</v>
      </c>
      <c r="N166" s="56">
        <f t="shared" si="124"/>
        <v>3.5240000000000005</v>
      </c>
      <c r="O166" s="57">
        <f t="shared" si="124"/>
        <v>4.0670000000000002</v>
      </c>
      <c r="P166" s="57">
        <f t="shared" si="124"/>
        <v>4.2629999999999999</v>
      </c>
      <c r="Q166" s="57">
        <f t="shared" si="124"/>
        <v>4.6110000000000007</v>
      </c>
      <c r="R166" s="57">
        <f t="shared" si="124"/>
        <v>4.9939999999999998</v>
      </c>
      <c r="S166" s="57">
        <f t="shared" si="124"/>
        <v>5.301000000000001</v>
      </c>
      <c r="T166" s="58">
        <f t="shared" ca="1" si="124"/>
        <v>5.2217853801685292</v>
      </c>
      <c r="U166" s="58">
        <f t="shared" ca="1" si="124"/>
        <v>5.5978194876562801</v>
      </c>
      <c r="V166" s="58">
        <f t="shared" ca="1" si="124"/>
        <v>5.9682698199672926</v>
      </c>
      <c r="W166" s="58">
        <f t="shared" ca="1" si="124"/>
        <v>6.2970740121410618</v>
      </c>
      <c r="X166" s="58">
        <f t="shared" ca="1" si="124"/>
        <v>6.6354488093900033</v>
      </c>
      <c r="Y166" s="58">
        <f t="shared" ca="1" si="124"/>
        <v>6.981578714467819</v>
      </c>
      <c r="Z166" s="58">
        <f t="shared" ca="1" si="124"/>
        <v>7.3368676291579886</v>
      </c>
      <c r="AA166" s="58">
        <f t="shared" ca="1" si="124"/>
        <v>7.7035893909827884</v>
      </c>
      <c r="AB166" s="58">
        <f t="shared" ca="1" si="124"/>
        <v>8.0752858743645053</v>
      </c>
      <c r="AC166" s="58">
        <f t="shared" ca="1" si="124"/>
        <v>8.4570748563668392</v>
      </c>
      <c r="AD166" s="26"/>
      <c r="AE166" s="26"/>
    </row>
    <row r="167" spans="1:31" x14ac:dyDescent="0.2">
      <c r="A167" s="66"/>
      <c r="AD167" s="26"/>
      <c r="AE167" s="26"/>
    </row>
    <row r="168" spans="1:31" x14ac:dyDescent="0.2">
      <c r="A168" s="31" t="s">
        <v>420</v>
      </c>
      <c r="B168" s="4" t="str">
        <f>$B$46</f>
        <v>From Fiscal Forecasts</v>
      </c>
      <c r="F168" s="23">
        <f>'Fiscal Forecasts'!F$166</f>
        <v>0.42299999999999999</v>
      </c>
      <c r="G168" s="23">
        <f>'Fiscal Forecasts'!G$166</f>
        <v>0.89800000000000002</v>
      </c>
      <c r="H168" s="23">
        <f>'Fiscal Forecasts'!H$166</f>
        <v>0.88400000000000001</v>
      </c>
      <c r="I168" s="23">
        <f>'Fiscal Forecasts'!I$166</f>
        <v>0.93500000000000005</v>
      </c>
      <c r="J168" s="23">
        <f>'Fiscal Forecasts'!J$166</f>
        <v>1.1060000000000001</v>
      </c>
      <c r="K168" s="23">
        <f>'Fiscal Forecasts'!K$166</f>
        <v>1.306</v>
      </c>
      <c r="L168" s="23">
        <f>'Fiscal Forecasts'!L$166</f>
        <v>0.8</v>
      </c>
      <c r="M168" s="23">
        <f>'Fiscal Forecasts'!M$166</f>
        <v>0.83899999999999997</v>
      </c>
      <c r="N168" s="23">
        <f>'Fiscal Forecasts'!N$166</f>
        <v>0.73899999999999999</v>
      </c>
      <c r="O168" s="25">
        <f>'Fiscal Forecasts'!O$166</f>
        <v>0.626</v>
      </c>
      <c r="P168" s="25">
        <f>'Fiscal Forecasts'!P$166</f>
        <v>0.58699999999999997</v>
      </c>
      <c r="Q168" s="25">
        <f>'Fiscal Forecasts'!Q$166</f>
        <v>0.56599999999999995</v>
      </c>
      <c r="R168" s="25">
        <f>'Fiscal Forecasts'!R$166</f>
        <v>0.54300000000000004</v>
      </c>
      <c r="S168" s="25">
        <f>'Fiscal Forecasts'!S$166</f>
        <v>0.54300000000000004</v>
      </c>
      <c r="T168" s="11">
        <f t="shared" ref="T168:AC168" ca="1" si="125">S$168*T$11/S$11</f>
        <v>0.56711607024474953</v>
      </c>
      <c r="U168" s="11">
        <f t="shared" ca="1" si="125"/>
        <v>0.59225666089346041</v>
      </c>
      <c r="V168" s="11">
        <f t="shared" ca="1" si="125"/>
        <v>0.61884330999936366</v>
      </c>
      <c r="W168" s="11">
        <f t="shared" ca="1" si="125"/>
        <v>0.64641824902492973</v>
      </c>
      <c r="X168" s="11">
        <f t="shared" ca="1" si="125"/>
        <v>0.67513043372418369</v>
      </c>
      <c r="Y168" s="11">
        <f t="shared" ca="1" si="125"/>
        <v>0.70477092574772959</v>
      </c>
      <c r="Z168" s="11">
        <f t="shared" ca="1" si="125"/>
        <v>0.73527936564527507</v>
      </c>
      <c r="AA168" s="11">
        <f t="shared" ca="1" si="125"/>
        <v>0.76667721776102538</v>
      </c>
      <c r="AB168" s="11">
        <f t="shared" ca="1" si="125"/>
        <v>0.79884323841990801</v>
      </c>
      <c r="AC168" s="11">
        <f t="shared" ca="1" si="125"/>
        <v>0.8319450676819159</v>
      </c>
      <c r="AD168" s="26"/>
      <c r="AE168" s="26"/>
    </row>
    <row r="169" spans="1:31" x14ac:dyDescent="0.2">
      <c r="A169" s="31" t="s">
        <v>421</v>
      </c>
      <c r="B169" s="4" t="str">
        <f>$B$46</f>
        <v>From Fiscal Forecasts</v>
      </c>
      <c r="F169" s="23">
        <f>'Fiscal Forecasts'!F$13</f>
        <v>2.4209999999999998</v>
      </c>
      <c r="G169" s="23">
        <f>'Fiscal Forecasts'!G$13</f>
        <v>2.6150000000000002</v>
      </c>
      <c r="H169" s="23">
        <f>'Fiscal Forecasts'!H$13</f>
        <v>2.89</v>
      </c>
      <c r="I169" s="23">
        <f>'Fiscal Forecasts'!I$13</f>
        <v>3.05</v>
      </c>
      <c r="J169" s="23">
        <f>'Fiscal Forecasts'!J$13</f>
        <v>7.5</v>
      </c>
      <c r="K169" s="23">
        <f>'Fiscal Forecasts'!K$13</f>
        <v>4.1399999999999997</v>
      </c>
      <c r="L169" s="23">
        <f>'Fiscal Forecasts'!L$13</f>
        <v>3.6970000000000001</v>
      </c>
      <c r="M169" s="23">
        <f>'Fiscal Forecasts'!M$13</f>
        <v>3.42</v>
      </c>
      <c r="N169" s="23">
        <f>'Fiscal Forecasts'!N$13</f>
        <v>3.6150000000000002</v>
      </c>
      <c r="O169" s="25">
        <f>'Fiscal Forecasts'!O$13</f>
        <v>3.5920000000000001</v>
      </c>
      <c r="P169" s="25">
        <f>'Fiscal Forecasts'!P$13</f>
        <v>3.6989999999999998</v>
      </c>
      <c r="Q169" s="25">
        <f>'Fiscal Forecasts'!Q$13</f>
        <v>3.7519999999999998</v>
      </c>
      <c r="R169" s="25">
        <f>'Fiscal Forecasts'!R$13</f>
        <v>3.798</v>
      </c>
      <c r="S169" s="25">
        <f>'Fiscal Forecasts'!S$13</f>
        <v>3.8420000000000001</v>
      </c>
      <c r="T169" s="11">
        <f t="shared" ref="T169:AC169" ca="1" si="126">SUM(T$168,(S$169-S$168)*T$11/S$11)</f>
        <v>4.0126334104610084</v>
      </c>
      <c r="U169" s="11">
        <f t="shared" ca="1" si="126"/>
        <v>4.1905158216439684</v>
      </c>
      <c r="V169" s="11">
        <f t="shared" ca="1" si="126"/>
        <v>4.3786298287616114</v>
      </c>
      <c r="W169" s="11">
        <f t="shared" ca="1" si="126"/>
        <v>4.5737364875760225</v>
      </c>
      <c r="X169" s="11">
        <f t="shared" ca="1" si="126"/>
        <v>4.7768897354849242</v>
      </c>
      <c r="Y169" s="11">
        <f t="shared" ca="1" si="126"/>
        <v>4.9866112278504193</v>
      </c>
      <c r="Z169" s="11">
        <f t="shared" ca="1" si="126"/>
        <v>5.2024738909929047</v>
      </c>
      <c r="AA169" s="11">
        <f t="shared" ca="1" si="126"/>
        <v>5.4246295960181588</v>
      </c>
      <c r="AB169" s="11">
        <f t="shared" ca="1" si="126"/>
        <v>5.6522204825217077</v>
      </c>
      <c r="AC169" s="11">
        <f t="shared" ca="1" si="126"/>
        <v>5.8864326888285854</v>
      </c>
      <c r="AD169" s="26"/>
      <c r="AE169" s="26"/>
    </row>
    <row r="170" spans="1:31" x14ac:dyDescent="0.2">
      <c r="F170" s="79"/>
      <c r="G170" s="79"/>
      <c r="H170" s="79"/>
      <c r="I170" s="79"/>
      <c r="J170" s="79"/>
      <c r="K170" s="79"/>
      <c r="L170" s="79"/>
      <c r="M170" s="79"/>
      <c r="N170" s="79"/>
      <c r="O170" s="79"/>
      <c r="P170" s="79"/>
      <c r="Q170" s="79"/>
      <c r="R170" s="79"/>
      <c r="S170" s="79"/>
      <c r="AD170" s="26"/>
      <c r="AE170" s="26"/>
    </row>
    <row r="171" spans="1:31" x14ac:dyDescent="0.2">
      <c r="A171" s="31" t="s">
        <v>229</v>
      </c>
      <c r="AD171" s="26"/>
      <c r="AE171" s="26"/>
    </row>
    <row r="172" spans="1:31" x14ac:dyDescent="0.2">
      <c r="A172" s="3" t="s">
        <v>422</v>
      </c>
      <c r="B172" s="4" t="str">
        <f t="shared" ref="B172:B183" si="127">$B$46</f>
        <v>From Fiscal Forecasts</v>
      </c>
      <c r="F172" s="21">
        <f>'Fiscal Forecasts'!F$223</f>
        <v>6.81</v>
      </c>
      <c r="G172" s="21">
        <f>'Fiscal Forecasts'!G$223</f>
        <v>7.3479999999999999</v>
      </c>
      <c r="H172" s="21">
        <f>'Fiscal Forecasts'!H$223</f>
        <v>7.7439999999999998</v>
      </c>
      <c r="I172" s="21">
        <f>'Fiscal Forecasts'!I$223</f>
        <v>8.2899999999999991</v>
      </c>
      <c r="J172" s="21">
        <f>'Fiscal Forecasts'!J$223</f>
        <v>8.83</v>
      </c>
      <c r="K172" s="21">
        <f>'Fiscal Forecasts'!K$223</f>
        <v>9.5839999999999996</v>
      </c>
      <c r="L172" s="21">
        <f>'Fiscal Forecasts'!L$223</f>
        <v>10.234999999999999</v>
      </c>
      <c r="M172" s="21">
        <f>'Fiscal Forecasts'!M$223</f>
        <v>10.913</v>
      </c>
      <c r="N172" s="21">
        <f>'Fiscal Forecasts'!N$223 +IF($D$2="Yes",'Fiscal Forecast Adjuster'!E$16,0)/1000</f>
        <v>11.590999999999999</v>
      </c>
      <c r="O172" s="24">
        <f>'Fiscal Forecasts'!O$223 +IF($D$2="Yes",'Fiscal Forecast Adjuster'!F$16,0)/1000</f>
        <v>12.223000000000001</v>
      </c>
      <c r="P172" s="24">
        <f>'Fiscal Forecasts'!P$223 +IF($D$2="Yes",'Fiscal Forecast Adjuster'!G$16,0)/1000</f>
        <v>12.86</v>
      </c>
      <c r="Q172" s="24">
        <f>'Fiscal Forecasts'!Q$223 +IF($D$2="Yes",'Fiscal Forecast Adjuster'!H$16,0)/1000</f>
        <v>13.522</v>
      </c>
      <c r="R172" s="24">
        <f>'Fiscal Forecasts'!R$223 +IF($D$2="Yes",'Fiscal Forecast Adjuster'!I$16,0)/1000</f>
        <v>14.234</v>
      </c>
      <c r="S172" s="24">
        <f>'Fiscal Forecasts'!S$223 +IF($D$2="Yes",'Fiscal Forecast Adjuster'!J$16,0)/1000</f>
        <v>15.071999999999999</v>
      </c>
      <c r="T172" s="26">
        <f ca="1">S$172*(1+Popn!T$245)*T$199/S$199</f>
        <v>15.906874639079568</v>
      </c>
      <c r="U172" s="26">
        <f ca="1">T$172*(1+Popn!U$245)*U$199/T$199</f>
        <v>16.871383988343087</v>
      </c>
      <c r="V172" s="26">
        <f ca="1">U$172*(1+Popn!V$245)*V$199/U$199</f>
        <v>18.040348471917785</v>
      </c>
      <c r="W172" s="26">
        <f ca="1">V$172*(1+Popn!W$245)*W$199/V$199</f>
        <v>19.31109792801027</v>
      </c>
      <c r="X172" s="26">
        <f ca="1">W$172*(1+Popn!X$245)*X$199/W$199</f>
        <v>20.653449016059184</v>
      </c>
      <c r="Y172" s="26">
        <f ca="1">X$172*(1+Popn!Y$245)*Y$199/X$199</f>
        <v>22.100638461439218</v>
      </c>
      <c r="Z172" s="26">
        <f ca="1">Y$172*(1+Popn!Z$245)*Z$199/Y$199</f>
        <v>23.644154881542111</v>
      </c>
      <c r="AA172" s="26">
        <f ca="1">Z$172*(1+Popn!AA$245)*AA$199/Z$199</f>
        <v>25.243664993036411</v>
      </c>
      <c r="AB172" s="26">
        <f ca="1">AA$172*(1+Popn!AB$245)*AB$199/AA$199</f>
        <v>26.884498275113874</v>
      </c>
      <c r="AC172" s="26">
        <f ca="1">AB$172*(1+Popn!AC$245)*AC$199/AB$199</f>
        <v>28.529475948927342</v>
      </c>
      <c r="AD172" s="26"/>
      <c r="AE172" s="26"/>
    </row>
    <row r="173" spans="1:31" x14ac:dyDescent="0.2">
      <c r="A173" s="3" t="s">
        <v>423</v>
      </c>
      <c r="B173" s="4" t="str">
        <f t="shared" si="127"/>
        <v>From Fiscal Forecasts</v>
      </c>
      <c r="F173" s="21">
        <f>'Fiscal Forecasts'!F$224</f>
        <v>0</v>
      </c>
      <c r="G173" s="21">
        <f>'Fiscal Forecasts'!G$224</f>
        <v>0</v>
      </c>
      <c r="H173" s="21">
        <f>'Fiscal Forecasts'!H$224</f>
        <v>0</v>
      </c>
      <c r="I173" s="21">
        <f>'Fiscal Forecasts'!I$224</f>
        <v>0</v>
      </c>
      <c r="J173" s="21">
        <f>'Fiscal Forecasts'!J$224</f>
        <v>0</v>
      </c>
      <c r="K173" s="21">
        <f>'Fiscal Forecasts'!K$224</f>
        <v>0</v>
      </c>
      <c r="L173" s="21">
        <f>'Fiscal Forecasts'!L$224</f>
        <v>0</v>
      </c>
      <c r="M173" s="21">
        <f>'Fiscal Forecasts'!M$224</f>
        <v>1.6910000000000001</v>
      </c>
      <c r="N173" s="21">
        <f>'Fiscal Forecasts'!N$224 +IF($D$2="Yes",'Fiscal Forecast Adjuster'!E$17,0)/1000</f>
        <v>1.6839999999999999</v>
      </c>
      <c r="O173" s="24">
        <f>'Fiscal Forecasts'!O$224 +IF($D$2="Yes",'Fiscal Forecast Adjuster'!F$17,0)/1000</f>
        <v>1.6759999999999999</v>
      </c>
      <c r="P173" s="24">
        <f>'Fiscal Forecasts'!P$224 +IF($D$2="Yes",'Fiscal Forecast Adjuster'!G$17,0)/1000</f>
        <v>1.718</v>
      </c>
      <c r="Q173" s="24">
        <f>'Fiscal Forecasts'!Q$224 +IF($D$2="Yes",'Fiscal Forecast Adjuster'!H$17,0)/1000</f>
        <v>1.6779999999999999</v>
      </c>
      <c r="R173" s="24">
        <f>'Fiscal Forecasts'!R$224 +IF($D$2="Yes",'Fiscal Forecast Adjuster'!I$17,0)/1000</f>
        <v>1.597</v>
      </c>
      <c r="S173" s="24">
        <f>'Fiscal Forecasts'!S$224 +IF($D$2="Yes",'Fiscal Forecast Adjuster'!J$17,0)/1000</f>
        <v>1.591</v>
      </c>
      <c r="T173" s="26">
        <f ca="1">S$173*SUM(1,SUMPRODUCT(Popn!T$211:T$221,Tracks!$C$52:$C$62),SUMPRODUCT(Popn!T$228:T$238,Tracks!$D$52:$D$62))*AVERAGE(1,(T$15*T$20)/(S$15*S$20))*T$29/S$29</f>
        <v>1.6291150791070699</v>
      </c>
      <c r="U173" s="26">
        <f ca="1">T$173*SUM(1,SUMPRODUCT(Popn!U$211:U$221,Tracks!$C$52:$C$62),SUMPRODUCT(Popn!U$228:U$238,Tracks!$D$52:$D$62))*AVERAGE(1,(U$15*U$20)/(T$15*T$20))*U$29/T$29</f>
        <v>1.6745999798614801</v>
      </c>
      <c r="V173" s="26">
        <f ca="1">U$173*SUM(1,SUMPRODUCT(Popn!V$211:V$221,Tracks!$C$52:$C$62),SUMPRODUCT(Popn!V$228:V$238,Tracks!$D$52:$D$62))*AVERAGE(1,(V$15*V$20)/(U$15*U$20))*V$29/U$29</f>
        <v>1.7205772837241546</v>
      </c>
      <c r="W173" s="26">
        <f ca="1">V$173*SUM(1,SUMPRODUCT(Popn!W$211:W$221,Tracks!$C$52:$C$62),SUMPRODUCT(Popn!W$228:W$238,Tracks!$D$52:$D$62))*AVERAGE(1,(W$15*W$20)/(V$15*V$20))*W$29/V$29</f>
        <v>1.7674333096782036</v>
      </c>
      <c r="X173" s="26">
        <f ca="1">W$173*SUM(1,SUMPRODUCT(Popn!X$211:X$221,Tracks!$C$52:$C$62),SUMPRODUCT(Popn!X$228:X$238,Tracks!$D$52:$D$62))*AVERAGE(1,(X$15*X$20)/(W$15*W$20))*X$29/W$29</f>
        <v>1.8167589434825198</v>
      </c>
      <c r="Y173" s="26">
        <f ca="1">X$173*SUM(1,SUMPRODUCT(Popn!Y$211:Y$221,Tracks!$C$52:$C$62),SUMPRODUCT(Popn!Y$228:Y$238,Tracks!$D$52:$D$62))*AVERAGE(1,(Y$15*Y$20)/(X$15*X$20))*Y$29/X$29</f>
        <v>1.8678558021297231</v>
      </c>
      <c r="Z173" s="26">
        <f ca="1">Y$173*SUM(1,SUMPRODUCT(Popn!Z$211:Z$221,Tracks!$C$52:$C$62),SUMPRODUCT(Popn!Z$228:Z$238,Tracks!$D$52:$D$62))*AVERAGE(1,(Z$15*Z$20)/(Y$15*Y$20))*Z$29/Y$29</f>
        <v>1.9197979738086437</v>
      </c>
      <c r="AA173" s="26">
        <f ca="1">Z$173*SUM(1,SUMPRODUCT(Popn!AA$211:AA$221,Tracks!$C$52:$C$62),SUMPRODUCT(Popn!AA$228:AA$238,Tracks!$D$52:$D$62))*AVERAGE(1,(AA$15*AA$20)/(Z$15*Z$20))*AA$29/Z$29</f>
        <v>1.9741373860501119</v>
      </c>
      <c r="AB173" s="26">
        <f ca="1">AA$173*SUM(1,SUMPRODUCT(Popn!AB$211:AB$221,Tracks!$C$52:$C$62),SUMPRODUCT(Popn!AB$228:AB$238,Tracks!$D$52:$D$62))*AVERAGE(1,(AB$15*AB$20)/(AA$15*AA$20))*AB$29/AA$29</f>
        <v>2.0287928830992774</v>
      </c>
      <c r="AC173" s="26">
        <f ca="1">AB$173*SUM(1,SUMPRODUCT(Popn!AC$211:AC$221,Tracks!$C$52:$C$62),SUMPRODUCT(Popn!AC$228:AC$238,Tracks!$D$52:$D$62))*AVERAGE(1,(AC$15*AC$20)/(AB$15*AB$20))*AC$29/AB$29</f>
        <v>2.0850529007569296</v>
      </c>
      <c r="AD173" s="26"/>
      <c r="AE173" s="26"/>
    </row>
    <row r="174" spans="1:31" x14ac:dyDescent="0.2">
      <c r="A174" s="3" t="s">
        <v>152</v>
      </c>
      <c r="B174" s="4" t="str">
        <f t="shared" si="127"/>
        <v>From Fiscal Forecasts</v>
      </c>
      <c r="F174" s="21">
        <f>'Fiscal Forecasts'!F$225</f>
        <v>0</v>
      </c>
      <c r="G174" s="21">
        <f>'Fiscal Forecasts'!G$225</f>
        <v>0</v>
      </c>
      <c r="H174" s="21">
        <f>'Fiscal Forecasts'!H$225</f>
        <v>0</v>
      </c>
      <c r="I174" s="21">
        <f>'Fiscal Forecasts'!I$225</f>
        <v>0</v>
      </c>
      <c r="J174" s="21">
        <f>'Fiscal Forecasts'!J$225</f>
        <v>0</v>
      </c>
      <c r="K174" s="21">
        <f>'Fiscal Forecasts'!K$225</f>
        <v>0</v>
      </c>
      <c r="L174" s="21">
        <f>'Fiscal Forecasts'!L$225</f>
        <v>0</v>
      </c>
      <c r="M174" s="21">
        <f>'Fiscal Forecasts'!M$225</f>
        <v>1.4219999999999999</v>
      </c>
      <c r="N174" s="21">
        <f>'Fiscal Forecasts'!N$225 +IF($D$2="Yes",'Fiscal Forecast Adjuster'!E$18,0)/1000</f>
        <v>1.5149999999999999</v>
      </c>
      <c r="O174" s="24">
        <f>'Fiscal Forecasts'!O$225 +IF($D$2="Yes",'Fiscal Forecast Adjuster'!F$18,0)/1000</f>
        <v>1.526</v>
      </c>
      <c r="P174" s="24">
        <f>'Fiscal Forecasts'!P$225 +IF($D$2="Yes",'Fiscal Forecast Adjuster'!G$18,0)/1000</f>
        <v>1.538</v>
      </c>
      <c r="Q174" s="24">
        <f>'Fiscal Forecasts'!Q$225 +IF($D$2="Yes",'Fiscal Forecast Adjuster'!H$18,0)/1000</f>
        <v>1.5449999999999999</v>
      </c>
      <c r="R174" s="24">
        <f>'Fiscal Forecasts'!R$225 +IF($D$2="Yes",'Fiscal Forecast Adjuster'!I$18,0)/1000</f>
        <v>1.57</v>
      </c>
      <c r="S174" s="24">
        <f>'Fiscal Forecasts'!S$225 +IF($D$2="Yes",'Fiscal Forecast Adjuster'!J$18,0)/1000</f>
        <v>1.6020000000000001</v>
      </c>
      <c r="T174" s="26">
        <f ca="1">S$174*SUM(1,SUMPRODUCT(Popn!T$211:T$221,Tracks!$I$52:$I$62),SUMPRODUCT(Popn!T$228:T$238,Tracks!$J$52:$J$62))*T$29/S$29</f>
        <v>1.6425709294567723</v>
      </c>
      <c r="U174" s="26">
        <f ca="1">T$174*SUM(1,SUMPRODUCT(Popn!U$211:U$221,Tracks!$I$52:$I$62),SUMPRODUCT(Popn!U$228:U$238,Tracks!$J$52:$J$62))*U$29/T$29</f>
        <v>1.6824604356771771</v>
      </c>
      <c r="V174" s="26">
        <f ca="1">U$174*SUM(1,SUMPRODUCT(Popn!V$211:V$221,Tracks!$I$52:$I$62),SUMPRODUCT(Popn!V$228:V$238,Tracks!$J$52:$J$62))*V$29/U$29</f>
        <v>1.7223337296900927</v>
      </c>
      <c r="W174" s="26">
        <f ca="1">V$174*SUM(1,SUMPRODUCT(Popn!W$211:W$221,Tracks!$I$52:$I$62),SUMPRODUCT(Popn!W$228:W$238,Tracks!$J$52:$J$62))*W$29/V$29</f>
        <v>1.7606856765394954</v>
      </c>
      <c r="X174" s="26">
        <f ca="1">W$174*SUM(1,SUMPRODUCT(Popn!X$211:X$221,Tracks!$I$52:$I$62),SUMPRODUCT(Popn!X$228:X$238,Tracks!$J$52:$J$62))*X$29/W$29</f>
        <v>1.7999076836027632</v>
      </c>
      <c r="Y174" s="26">
        <f ca="1">X$174*SUM(1,SUMPRODUCT(Popn!Y$211:Y$221,Tracks!$I$52:$I$62),SUMPRODUCT(Popn!Y$228:Y$238,Tracks!$J$52:$J$62))*Y$29/X$29</f>
        <v>1.8385257864405746</v>
      </c>
      <c r="Z174" s="26">
        <f ca="1">Y$174*SUM(1,SUMPRODUCT(Popn!Z$211:Z$221,Tracks!$I$52:$I$62),SUMPRODUCT(Popn!Z$228:Z$238,Tracks!$J$52:$J$62))*Z$29/Y$29</f>
        <v>1.8763157492334341</v>
      </c>
      <c r="AA174" s="26">
        <f ca="1">Z$174*SUM(1,SUMPRODUCT(Popn!AA$211:AA$221,Tracks!$I$52:$I$62),SUMPRODUCT(Popn!AA$228:AA$238,Tracks!$J$52:$J$62))*AA$29/Z$29</f>
        <v>1.915600222617889</v>
      </c>
      <c r="AB174" s="26">
        <f ca="1">AA$174*SUM(1,SUMPRODUCT(Popn!AB$211:AB$221,Tracks!$I$52:$I$62),SUMPRODUCT(Popn!AB$228:AB$238,Tracks!$J$52:$J$62))*AB$29/AA$29</f>
        <v>1.9568352805307347</v>
      </c>
      <c r="AC174" s="26">
        <f ca="1">AB$174*SUM(1,SUMPRODUCT(Popn!AC$211:AC$221,Tracks!$I$52:$I$62),SUMPRODUCT(Popn!AC$228:AC$238,Tracks!$J$52:$J$62))*AC$29/AB$29</f>
        <v>2.0016009480647976</v>
      </c>
      <c r="AD174" s="26"/>
      <c r="AE174" s="26"/>
    </row>
    <row r="175" spans="1:31" x14ac:dyDescent="0.2">
      <c r="A175" s="3" t="s">
        <v>151</v>
      </c>
      <c r="B175" s="4" t="str">
        <f t="shared" si="127"/>
        <v>From Fiscal Forecasts</v>
      </c>
      <c r="F175" s="21">
        <f>'Fiscal Forecasts'!F$226</f>
        <v>0</v>
      </c>
      <c r="G175" s="21">
        <f>'Fiscal Forecasts'!G$226</f>
        <v>0</v>
      </c>
      <c r="H175" s="21">
        <f>'Fiscal Forecasts'!H$226</f>
        <v>0</v>
      </c>
      <c r="I175" s="21">
        <f>'Fiscal Forecasts'!I$226</f>
        <v>0</v>
      </c>
      <c r="J175" s="21">
        <f>'Fiscal Forecasts'!J$226</f>
        <v>0</v>
      </c>
      <c r="K175" s="21">
        <f>'Fiscal Forecasts'!K$226</f>
        <v>0</v>
      </c>
      <c r="L175" s="21">
        <f>'Fiscal Forecasts'!L$226</f>
        <v>0</v>
      </c>
      <c r="M175" s="21">
        <f>'Fiscal Forecasts'!M$226</f>
        <v>1.222</v>
      </c>
      <c r="N175" s="21">
        <f>'Fiscal Forecasts'!N$226 +IF($D$2="Yes",'Fiscal Forecast Adjuster'!E$19,0)/1000</f>
        <v>1.1859999999999999</v>
      </c>
      <c r="O175" s="24">
        <f>'Fiscal Forecasts'!O$226 +IF($D$2="Yes",'Fiscal Forecast Adjuster'!F$19,0)/1000</f>
        <v>1.157</v>
      </c>
      <c r="P175" s="24">
        <f>'Fiscal Forecasts'!P$226 +IF($D$2="Yes",'Fiscal Forecast Adjuster'!G$19,0)/1000</f>
        <v>1.254</v>
      </c>
      <c r="Q175" s="24">
        <f>'Fiscal Forecasts'!Q$226 +IF($D$2="Yes",'Fiscal Forecast Adjuster'!H$19,0)/1000</f>
        <v>1.2529999999999999</v>
      </c>
      <c r="R175" s="24">
        <f>'Fiscal Forecasts'!R$226 +IF($D$2="Yes",'Fiscal Forecast Adjuster'!I$19,0)/1000</f>
        <v>1.242</v>
      </c>
      <c r="S175" s="24">
        <f>'Fiscal Forecasts'!S$226 +IF($D$2="Yes",'Fiscal Forecast Adjuster'!J$19,0)/1000</f>
        <v>1.25</v>
      </c>
      <c r="T175" s="26">
        <f ca="1">S$175*SUM(1,SUMPRODUCT(Popn!T$211:T$221,Tracks!$F$52:$F$62),SUMPRODUCT(Popn!T$228:T$238,Tracks!$G$52:$G$62))*T$29/S$29</f>
        <v>1.2794083801830918</v>
      </c>
      <c r="U175" s="26">
        <f ca="1">T$175*SUM(1,SUMPRODUCT(Popn!U$211:U$221,Tracks!$F$52:$F$62),SUMPRODUCT(Popn!U$228:U$238,Tracks!$G$52:$G$62))*U$29/T$29</f>
        <v>1.3074062399197681</v>
      </c>
      <c r="V175" s="26">
        <f ca="1">U$175*SUM(1,SUMPRODUCT(Popn!V$211:V$221,Tracks!$F$52:$F$62),SUMPRODUCT(Popn!V$228:V$238,Tracks!$G$52:$G$62))*V$29/U$29</f>
        <v>1.3352634689213654</v>
      </c>
      <c r="W175" s="26">
        <f ca="1">V$175*SUM(1,SUMPRODUCT(Popn!W$211:W$221,Tracks!$F$52:$F$62),SUMPRODUCT(Popn!W$228:W$238,Tracks!$G$52:$G$62))*W$29/V$29</f>
        <v>1.3643880629728922</v>
      </c>
      <c r="X175" s="26">
        <f ca="1">W$175*SUM(1,SUMPRODUCT(Popn!X$211:X$221,Tracks!$F$52:$F$62),SUMPRODUCT(Popn!X$228:X$238,Tracks!$G$52:$G$62))*X$29/W$29</f>
        <v>1.3942999001718552</v>
      </c>
      <c r="Y175" s="26">
        <f ca="1">X$175*SUM(1,SUMPRODUCT(Popn!Y$211:Y$221,Tracks!$F$52:$F$62),SUMPRODUCT(Popn!Y$228:Y$238,Tracks!$G$52:$G$62))*Y$29/X$29</f>
        <v>1.4262990497335375</v>
      </c>
      <c r="Z175" s="26">
        <f ca="1">Y$175*SUM(1,SUMPRODUCT(Popn!Z$211:Z$221,Tracks!$F$52:$F$62),SUMPRODUCT(Popn!Z$228:Z$238,Tracks!$G$52:$G$62))*Z$29/Y$29</f>
        <v>1.4599524162262101</v>
      </c>
      <c r="AA175" s="26">
        <f ca="1">Z$175*SUM(1,SUMPRODUCT(Popn!AA$211:AA$221,Tracks!$F$52:$F$62),SUMPRODUCT(Popn!AA$228:AA$238,Tracks!$G$52:$G$62))*AA$29/Z$29</f>
        <v>1.4964961605280462</v>
      </c>
      <c r="AB175" s="26">
        <f ca="1">AA$175*SUM(1,SUMPRODUCT(Popn!AB$211:AB$221,Tracks!$F$52:$F$62),SUMPRODUCT(Popn!AB$228:AB$238,Tracks!$G$52:$G$62))*AB$29/AA$29</f>
        <v>1.533464599831464</v>
      </c>
      <c r="AC175" s="26">
        <f ca="1">AB$175*SUM(1,SUMPRODUCT(Popn!AC$211:AC$221,Tracks!$F$52:$F$62),SUMPRODUCT(Popn!AC$228:AC$238,Tracks!$G$52:$G$62))*AC$29/AB$29</f>
        <v>1.5712565397526803</v>
      </c>
      <c r="AD175" s="26"/>
      <c r="AE175" s="26"/>
    </row>
    <row r="176" spans="1:31" x14ac:dyDescent="0.2">
      <c r="A176" s="3" t="s">
        <v>424</v>
      </c>
      <c r="B176" s="4" t="str">
        <f t="shared" si="127"/>
        <v>From Fiscal Forecasts</v>
      </c>
      <c r="F176" s="21">
        <f>'Fiscal Forecasts'!F$227</f>
        <v>3.786</v>
      </c>
      <c r="G176" s="21">
        <f>'Fiscal Forecasts'!G$227</f>
        <v>3.734</v>
      </c>
      <c r="H176" s="21">
        <f>'Fiscal Forecasts'!H$227</f>
        <v>3.9890000000000003</v>
      </c>
      <c r="I176" s="21">
        <f>'Fiscal Forecasts'!I$227</f>
        <v>4.6360000000000001</v>
      </c>
      <c r="J176" s="21">
        <f>'Fiscal Forecasts'!J$227</f>
        <v>4.7490000000000006</v>
      </c>
      <c r="K176" s="21">
        <f>'Fiscal Forecasts'!K$227</f>
        <v>4.7939999999999996</v>
      </c>
      <c r="L176" s="21">
        <f>'Fiscal Forecasts'!L$227</f>
        <v>4.6619999999999999</v>
      </c>
      <c r="M176" s="21">
        <f>'Fiscal Forecasts'!M$227</f>
        <v>0.17299999999999999</v>
      </c>
      <c r="N176" s="21">
        <f>'Fiscal Forecasts'!N$227</f>
        <v>0</v>
      </c>
      <c r="O176" s="24">
        <f>'Fiscal Forecasts'!O$227</f>
        <v>0</v>
      </c>
      <c r="P176" s="24">
        <f>'Fiscal Forecasts'!P$227</f>
        <v>0</v>
      </c>
      <c r="Q176" s="24">
        <f>'Fiscal Forecasts'!Q$227</f>
        <v>0</v>
      </c>
      <c r="R176" s="24">
        <f>'Fiscal Forecasts'!R$227</f>
        <v>0</v>
      </c>
      <c r="S176" s="24">
        <f>'Fiscal Forecasts'!S$227</f>
        <v>0</v>
      </c>
      <c r="T176" s="26">
        <f ca="1">IF(T$4=OFFSET(Choices!$B$10,0,$C$1),0,S$176)</f>
        <v>0</v>
      </c>
      <c r="U176" s="26">
        <f ca="1">IF(U$4=OFFSET(Choices!$B$10,0,$C$1),0,T$176)</f>
        <v>0</v>
      </c>
      <c r="V176" s="26">
        <f ca="1">IF(V$4=OFFSET(Choices!$B$10,0,$C$1),0,U$176)</f>
        <v>0</v>
      </c>
      <c r="W176" s="26">
        <f ca="1">IF(W$4=OFFSET(Choices!$B$10,0,$C$1),0,V$176)</f>
        <v>0</v>
      </c>
      <c r="X176" s="26">
        <f ca="1">IF(X$4=OFFSET(Choices!$B$10,0,$C$1),0,W$176)</f>
        <v>0</v>
      </c>
      <c r="Y176" s="26">
        <f ca="1">IF(Y$4=OFFSET(Choices!$B$10,0,$C$1),0,X$176)</f>
        <v>0</v>
      </c>
      <c r="Z176" s="26">
        <f ca="1">IF(Z$4=OFFSET(Choices!$B$10,0,$C$1),0,Y$176)</f>
        <v>0</v>
      </c>
      <c r="AA176" s="26">
        <f ca="1">IF(AA$4=OFFSET(Choices!$B$10,0,$C$1),0,Z$176)</f>
        <v>0</v>
      </c>
      <c r="AB176" s="26">
        <f ca="1">IF(AB$4=OFFSET(Choices!$B$10,0,$C$1),0,AA$176)</f>
        <v>0</v>
      </c>
      <c r="AC176" s="26">
        <f ca="1">IF(AC$4=OFFSET(Choices!$B$10,0,$C$1),0,AB$176)</f>
        <v>0</v>
      </c>
      <c r="AD176" s="26"/>
      <c r="AE176" s="26"/>
    </row>
    <row r="177" spans="1:31" x14ac:dyDescent="0.2">
      <c r="A177" s="3" t="s">
        <v>429</v>
      </c>
      <c r="B177" s="4" t="str">
        <f t="shared" si="127"/>
        <v>From Fiscal Forecasts</v>
      </c>
      <c r="F177" s="21">
        <f>'Fiscal Forecasts'!F$228</f>
        <v>1.6890000000000001</v>
      </c>
      <c r="G177" s="21">
        <f>'Fiscal Forecasts'!G$228</f>
        <v>1.88</v>
      </c>
      <c r="H177" s="21">
        <f>'Fiscal Forecasts'!H$228</f>
        <v>2.0529999999999999</v>
      </c>
      <c r="I177" s="21">
        <f>'Fiscal Forecasts'!I$228</f>
        <v>2.1589999999999998</v>
      </c>
      <c r="J177" s="21">
        <f>'Fiscal Forecasts'!J$228</f>
        <v>2.13</v>
      </c>
      <c r="K177" s="21">
        <f>'Fiscal Forecasts'!K$228</f>
        <v>2.0710000000000002</v>
      </c>
      <c r="L177" s="21">
        <f>'Fiscal Forecasts'!L$228</f>
        <v>2.0179999999999998</v>
      </c>
      <c r="M177" s="21">
        <f>'Fiscal Forecasts'!M$228</f>
        <v>1.9650000000000001</v>
      </c>
      <c r="N177" s="21">
        <f>'Fiscal Forecasts'!N$228 +IF($D$2="Yes",'Fiscal Forecast Adjuster'!E$20,0)/1000</f>
        <v>1.8540000000000001</v>
      </c>
      <c r="O177" s="24">
        <f>'Fiscal Forecasts'!O$228 +IF($D$2="Yes",'Fiscal Forecast Adjuster'!F$20,0)/1000</f>
        <v>1.8340000000000001</v>
      </c>
      <c r="P177" s="24">
        <f>'Fiscal Forecasts'!P$228 +IF($D$2="Yes",'Fiscal Forecast Adjuster'!G$20,0)/1000</f>
        <v>1.851</v>
      </c>
      <c r="Q177" s="24">
        <f>'Fiscal Forecasts'!Q$228 +IF($D$2="Yes",'Fiscal Forecast Adjuster'!H$20,0)/1000</f>
        <v>1.948</v>
      </c>
      <c r="R177" s="24">
        <f>'Fiscal Forecasts'!R$228 +IF($D$2="Yes",'Fiscal Forecast Adjuster'!I$20,0)/1000</f>
        <v>1.9910000000000001</v>
      </c>
      <c r="S177" s="24">
        <f>'Fiscal Forecasts'!S$228 +IF($D$2="Yes",'Fiscal Forecast Adjuster'!J$20,0)/1000</f>
        <v>2.1</v>
      </c>
      <c r="T177" s="26">
        <f t="shared" ref="T177:AC177" ca="1" si="128">S$177*T$17/S$17*T$29/S$29</f>
        <v>2.1646141439286182</v>
      </c>
      <c r="U177" s="26">
        <f t="shared" ca="1" si="128"/>
        <v>2.2313916297299525</v>
      </c>
      <c r="V177" s="26">
        <f t="shared" ca="1" si="128"/>
        <v>2.3010902811216636</v>
      </c>
      <c r="W177" s="26">
        <f t="shared" ca="1" si="128"/>
        <v>2.3721297995840218</v>
      </c>
      <c r="X177" s="26">
        <f t="shared" ca="1" si="128"/>
        <v>2.4452869386906695</v>
      </c>
      <c r="Y177" s="26">
        <f t="shared" ca="1" si="128"/>
        <v>2.5190125997763806</v>
      </c>
      <c r="Z177" s="26">
        <f t="shared" ca="1" si="128"/>
        <v>2.5936809099301299</v>
      </c>
      <c r="AA177" s="26">
        <f t="shared" ca="1" si="128"/>
        <v>2.6691405183166266</v>
      </c>
      <c r="AB177" s="26">
        <f t="shared" ca="1" si="128"/>
        <v>2.7450278889001707</v>
      </c>
      <c r="AC177" s="26">
        <f t="shared" ca="1" si="128"/>
        <v>2.821778750608658</v>
      </c>
      <c r="AD177" s="26"/>
      <c r="AE177" s="26"/>
    </row>
    <row r="178" spans="1:31" x14ac:dyDescent="0.2">
      <c r="A178" s="3" t="s">
        <v>425</v>
      </c>
      <c r="B178" s="4" t="str">
        <f t="shared" si="127"/>
        <v>From Fiscal Forecasts</v>
      </c>
      <c r="F178" s="21">
        <f>'Fiscal Forecasts'!F$229</f>
        <v>0.53600000000000003</v>
      </c>
      <c r="G178" s="21">
        <f>'Fiscal Forecasts'!G$229</f>
        <v>0.61399999999999999</v>
      </c>
      <c r="H178" s="21">
        <f>'Fiscal Forecasts'!H$229</f>
        <v>0.62</v>
      </c>
      <c r="I178" s="21">
        <f>'Fiscal Forecasts'!I$229</f>
        <v>0.628</v>
      </c>
      <c r="J178" s="21">
        <f>'Fiscal Forecasts'!J$229</f>
        <v>0.61599999999999999</v>
      </c>
      <c r="K178" s="21">
        <f>'Fiscal Forecasts'!K$229</f>
        <v>0.59899999999999998</v>
      </c>
      <c r="L178" s="21">
        <f>'Fiscal Forecasts'!L$229</f>
        <v>0.57499999999999996</v>
      </c>
      <c r="M178" s="21">
        <f>'Fiscal Forecasts'!M$229</f>
        <v>0.56699999999999995</v>
      </c>
      <c r="N178" s="21">
        <f>'Fiscal Forecasts'!N$229 +IF($D$2="Yes",'Fiscal Forecast Adjuster'!E$21,0)/1000</f>
        <v>0.54900000000000004</v>
      </c>
      <c r="O178" s="24">
        <f>'Fiscal Forecasts'!O$229 +IF($D$2="Yes",'Fiscal Forecast Adjuster'!F$21,0)/1000</f>
        <v>0.56699999999999995</v>
      </c>
      <c r="P178" s="24">
        <f>'Fiscal Forecasts'!P$229 +IF($D$2="Yes",'Fiscal Forecast Adjuster'!G$21,0)/1000</f>
        <v>0.64500000000000002</v>
      </c>
      <c r="Q178" s="24">
        <f>'Fiscal Forecasts'!Q$229 +IF($D$2="Yes",'Fiscal Forecast Adjuster'!H$21,0)/1000</f>
        <v>0.63800000000000001</v>
      </c>
      <c r="R178" s="24">
        <f>'Fiscal Forecasts'!R$229 +IF($D$2="Yes",'Fiscal Forecast Adjuster'!I$21,0)/1000</f>
        <v>0.629</v>
      </c>
      <c r="S178" s="24">
        <f>'Fiscal Forecasts'!S$229 +IF($D$2="Yes",'Fiscal Forecast Adjuster'!J$21,0)/1000</f>
        <v>0.628</v>
      </c>
      <c r="T178" s="26">
        <f t="shared" ref="T178:AC178" ca="1" si="129">S$178*T$17/S$17*T$29/S$29</f>
        <v>0.64732270589865326</v>
      </c>
      <c r="U178" s="26">
        <f t="shared" ca="1" si="129"/>
        <v>0.66729235403352849</v>
      </c>
      <c r="V178" s="26">
        <f t="shared" ca="1" si="129"/>
        <v>0.68813556978304979</v>
      </c>
      <c r="W178" s="26">
        <f t="shared" ca="1" si="129"/>
        <v>0.7093797686375074</v>
      </c>
      <c r="X178" s="26">
        <f t="shared" ca="1" si="129"/>
        <v>0.73125723690368583</v>
      </c>
      <c r="Y178" s="26">
        <f t="shared" ca="1" si="129"/>
        <v>0.75330472031407947</v>
      </c>
      <c r="Z178" s="26">
        <f t="shared" ca="1" si="129"/>
        <v>0.7756341006838674</v>
      </c>
      <c r="AA178" s="26">
        <f t="shared" ca="1" si="129"/>
        <v>0.79820011690611481</v>
      </c>
      <c r="AB178" s="26">
        <f t="shared" ca="1" si="129"/>
        <v>0.82089405439490803</v>
      </c>
      <c r="AC178" s="26">
        <f t="shared" ca="1" si="129"/>
        <v>0.84384621684868433</v>
      </c>
      <c r="AD178" s="26"/>
      <c r="AE178" s="26"/>
    </row>
    <row r="179" spans="1:31" x14ac:dyDescent="0.2">
      <c r="A179" s="3" t="s">
        <v>426</v>
      </c>
      <c r="B179" s="4" t="str">
        <f t="shared" si="127"/>
        <v>From Fiscal Forecasts</v>
      </c>
      <c r="F179" s="21">
        <f>'Fiscal Forecasts'!F$230</f>
        <v>0.877</v>
      </c>
      <c r="G179" s="21">
        <f>'Fiscal Forecasts'!G$230</f>
        <v>0.89100000000000001</v>
      </c>
      <c r="H179" s="21">
        <f>'Fiscal Forecasts'!H$230</f>
        <v>0.98899999999999999</v>
      </c>
      <c r="I179" s="21">
        <f>'Fiscal Forecasts'!I$230</f>
        <v>1.1539999999999999</v>
      </c>
      <c r="J179" s="21">
        <f>'Fiscal Forecasts'!J$230</f>
        <v>1.1970000000000001</v>
      </c>
      <c r="K179" s="21">
        <f>'Fiscal Forecasts'!K$230</f>
        <v>1.1950000000000001</v>
      </c>
      <c r="L179" s="21">
        <f>'Fiscal Forecasts'!L$230</f>
        <v>1.177</v>
      </c>
      <c r="M179" s="21">
        <f>'Fiscal Forecasts'!M$230</f>
        <v>1.1459999999999999</v>
      </c>
      <c r="N179" s="21">
        <f>'Fiscal Forecasts'!N$230 +IF($D$2="Yes",'Fiscal Forecast Adjuster'!E$22,0)/1000</f>
        <v>1.129</v>
      </c>
      <c r="O179" s="24">
        <f>'Fiscal Forecasts'!O$230 +IF($D$2="Yes",'Fiscal Forecast Adjuster'!F$22,0)/1000</f>
        <v>1.1539999999999999</v>
      </c>
      <c r="P179" s="24">
        <f>'Fiscal Forecasts'!P$230 +IF($D$2="Yes",'Fiscal Forecast Adjuster'!G$22,0)/1000</f>
        <v>1.1990000000000001</v>
      </c>
      <c r="Q179" s="24">
        <f>'Fiscal Forecasts'!Q$230 +IF($D$2="Yes",'Fiscal Forecast Adjuster'!H$22,0)/1000</f>
        <v>1.222</v>
      </c>
      <c r="R179" s="24">
        <f>'Fiscal Forecasts'!R$230 +IF($D$2="Yes",'Fiscal Forecast Adjuster'!I$22,0)/1000</f>
        <v>1.206</v>
      </c>
      <c r="S179" s="24">
        <f>'Fiscal Forecasts'!S$230 +IF($D$2="Yes",'Fiscal Forecast Adjuster'!J$22,0)/1000</f>
        <v>1.2090000000000001</v>
      </c>
      <c r="T179" s="26">
        <f t="shared" ref="T179:AC179" ca="1" si="130">S$179*T$17/S$17*T$29/S$29</f>
        <v>1.2461992857189041</v>
      </c>
      <c r="U179" s="26">
        <f t="shared" ca="1" si="130"/>
        <v>1.2846440382588153</v>
      </c>
      <c r="V179" s="26">
        <f t="shared" ca="1" si="130"/>
        <v>1.3247705475600431</v>
      </c>
      <c r="W179" s="26">
        <f t="shared" ca="1" si="130"/>
        <v>1.3656690131890865</v>
      </c>
      <c r="X179" s="26">
        <f t="shared" ca="1" si="130"/>
        <v>1.4077866232747707</v>
      </c>
      <c r="Y179" s="26">
        <f t="shared" ca="1" si="130"/>
        <v>1.4502315395855443</v>
      </c>
      <c r="Z179" s="26">
        <f t="shared" ca="1" si="130"/>
        <v>1.4932191524312028</v>
      </c>
      <c r="AA179" s="26">
        <f t="shared" ca="1" si="130"/>
        <v>1.5366623269737143</v>
      </c>
      <c r="AB179" s="26">
        <f t="shared" ca="1" si="130"/>
        <v>1.5803517703239549</v>
      </c>
      <c r="AC179" s="26">
        <f t="shared" ca="1" si="130"/>
        <v>1.6245383378504124</v>
      </c>
      <c r="AD179" s="26"/>
      <c r="AE179" s="26"/>
    </row>
    <row r="180" spans="1:31" x14ac:dyDescent="0.2">
      <c r="A180" s="3" t="s">
        <v>427</v>
      </c>
      <c r="B180" s="4" t="str">
        <f t="shared" si="127"/>
        <v>From Fiscal Forecasts</v>
      </c>
      <c r="F180" s="21">
        <f>'Fiscal Forecasts'!F$231</f>
        <v>0.434</v>
      </c>
      <c r="G180" s="21">
        <f>'Fiscal Forecasts'!G$231</f>
        <v>0.46500000000000002</v>
      </c>
      <c r="H180" s="21">
        <f>'Fiscal Forecasts'!H$231</f>
        <v>0.504</v>
      </c>
      <c r="I180" s="21">
        <f>'Fiscal Forecasts'!I$231</f>
        <v>0.52200000000000002</v>
      </c>
      <c r="J180" s="21">
        <f>'Fiscal Forecasts'!J$231</f>
        <v>0.55300000000000005</v>
      </c>
      <c r="K180" s="21">
        <f>'Fiscal Forecasts'!K$231</f>
        <v>0.57999999999999996</v>
      </c>
      <c r="L180" s="21">
        <f>'Fiscal Forecasts'!L$231</f>
        <v>0.61099999999999999</v>
      </c>
      <c r="M180" s="21">
        <f>'Fiscal Forecasts'!M$231</f>
        <v>0.66</v>
      </c>
      <c r="N180" s="21">
        <f>'Fiscal Forecasts'!N$231 +IF($D$2="Yes",'Fiscal Forecast Adjuster'!E$23,0)/1000</f>
        <v>0.70299999999999996</v>
      </c>
      <c r="O180" s="24">
        <f>'Fiscal Forecasts'!O$231 +IF($D$2="Yes",'Fiscal Forecast Adjuster'!F$23,0)/1000</f>
        <v>0.77800000000000002</v>
      </c>
      <c r="P180" s="24">
        <f>'Fiscal Forecasts'!P$231 +IF($D$2="Yes",'Fiscal Forecast Adjuster'!G$23,0)/1000</f>
        <v>0.81799999999999995</v>
      </c>
      <c r="Q180" s="24">
        <f>'Fiscal Forecasts'!Q$231 +IF($D$2="Yes",'Fiscal Forecast Adjuster'!H$23,0)/1000</f>
        <v>0.872</v>
      </c>
      <c r="R180" s="24">
        <f>'Fiscal Forecasts'!R$231 +IF($D$2="Yes",'Fiscal Forecast Adjuster'!I$23,0)/1000</f>
        <v>0.92700000000000005</v>
      </c>
      <c r="S180" s="24">
        <f>'Fiscal Forecasts'!S$231 +IF($D$2="Yes",'Fiscal Forecast Adjuster'!J$23,0)/1000</f>
        <v>1.0249999999999999</v>
      </c>
      <c r="T180" s="26">
        <f t="shared" ref="T180:AC180" ca="1" si="131">S$180*T$17/S$17*T$29/S$29</f>
        <v>1.0565378559651586</v>
      </c>
      <c r="U180" s="26">
        <f t="shared" ca="1" si="131"/>
        <v>1.0891316287967621</v>
      </c>
      <c r="V180" s="26">
        <f t="shared" ca="1" si="131"/>
        <v>1.1231512086427164</v>
      </c>
      <c r="W180" s="26">
        <f t="shared" ca="1" si="131"/>
        <v>1.1578252593207723</v>
      </c>
      <c r="X180" s="26">
        <f t="shared" ca="1" si="131"/>
        <v>1.1935329105513979</v>
      </c>
      <c r="Y180" s="26">
        <f t="shared" ca="1" si="131"/>
        <v>1.2295180546527571</v>
      </c>
      <c r="Z180" s="26">
        <f t="shared" ca="1" si="131"/>
        <v>1.2659633012754206</v>
      </c>
      <c r="AA180" s="26">
        <f t="shared" ca="1" si="131"/>
        <v>1.3027947767974011</v>
      </c>
      <c r="AB180" s="26">
        <f t="shared" ca="1" si="131"/>
        <v>1.3398350410107978</v>
      </c>
      <c r="AC180" s="26">
        <f t="shared" ca="1" si="131"/>
        <v>1.3772967711304165</v>
      </c>
      <c r="AD180" s="26"/>
      <c r="AE180" s="26"/>
    </row>
    <row r="181" spans="1:31" x14ac:dyDescent="0.2">
      <c r="A181" s="3" t="s">
        <v>428</v>
      </c>
      <c r="B181" s="4" t="str">
        <f t="shared" si="127"/>
        <v>From Fiscal Forecasts</v>
      </c>
      <c r="F181" s="21">
        <f>'Fiscal Forecasts'!F$232</f>
        <v>0.34800000000000003</v>
      </c>
      <c r="G181" s="21">
        <f>'Fiscal Forecasts'!G$232</f>
        <v>0.36699999999999999</v>
      </c>
      <c r="H181" s="21">
        <f>'Fiscal Forecasts'!H$232</f>
        <v>0.39</v>
      </c>
      <c r="I181" s="21">
        <f>'Fiscal Forecasts'!I$232</f>
        <v>0.41099999999999998</v>
      </c>
      <c r="J181" s="21">
        <f>'Fiscal Forecasts'!J$232</f>
        <v>0.40899999999999997</v>
      </c>
      <c r="K181" s="21">
        <f>'Fiscal Forecasts'!K$232</f>
        <v>0.40100000000000002</v>
      </c>
      <c r="L181" s="21">
        <f>'Fiscal Forecasts'!L$232</f>
        <v>0.38400000000000001</v>
      </c>
      <c r="M181" s="21">
        <f>'Fiscal Forecasts'!M$232</f>
        <v>0.379</v>
      </c>
      <c r="N181" s="21">
        <f>'Fiscal Forecasts'!N$232 +IF($D$2="Yes",'Fiscal Forecast Adjuster'!E$24,0)/1000</f>
        <v>0.377</v>
      </c>
      <c r="O181" s="24">
        <f>'Fiscal Forecasts'!O$232 +IF($D$2="Yes",'Fiscal Forecast Adjuster'!F$24,0)/1000</f>
        <v>0.378</v>
      </c>
      <c r="P181" s="24">
        <f>'Fiscal Forecasts'!P$232 +IF($D$2="Yes",'Fiscal Forecast Adjuster'!G$24,0)/1000</f>
        <v>0.38</v>
      </c>
      <c r="Q181" s="24">
        <f>'Fiscal Forecasts'!Q$232 +IF($D$2="Yes",'Fiscal Forecast Adjuster'!H$24,0)/1000</f>
        <v>0.38300000000000001</v>
      </c>
      <c r="R181" s="24">
        <f>'Fiscal Forecasts'!R$232 +IF($D$2="Yes",'Fiscal Forecast Adjuster'!I$24,0)/1000</f>
        <v>0.38300000000000001</v>
      </c>
      <c r="S181" s="24">
        <f>'Fiscal Forecasts'!S$232 +IF($D$2="Yes",'Fiscal Forecast Adjuster'!J$24,0)/1000</f>
        <v>0.38700000000000001</v>
      </c>
      <c r="T181" s="26">
        <f ca="1">S$181*(1+AVERAGE(Popn!T$244,Popn!T$245))*T$29/S$29</f>
        <v>0.40243745129564917</v>
      </c>
      <c r="U181" s="26">
        <f ca="1">T$181*(1+AVERAGE(Popn!U$244,Popn!U$245))*U$29/T$29</f>
        <v>0.41837371897384673</v>
      </c>
      <c r="V181" s="26">
        <f ca="1">U$181*(1+AVERAGE(Popn!V$244,Popn!V$245))*V$29/U$29</f>
        <v>0.43481676976375533</v>
      </c>
      <c r="W181" s="26">
        <f ca="1">V$181*(1+AVERAGE(Popn!W$244,Popn!W$245))*W$29/V$29</f>
        <v>0.45194508758889934</v>
      </c>
      <c r="X181" s="26">
        <f ca="1">W$181*(1+AVERAGE(Popn!X$244,Popn!X$245))*X$29/W$29</f>
        <v>0.46954734739950788</v>
      </c>
      <c r="Y181" s="26">
        <f ca="1">X$181*(1+AVERAGE(Popn!Y$244,Popn!Y$245))*Y$29/X$29</f>
        <v>0.4876701299628951</v>
      </c>
      <c r="Z181" s="26">
        <f ca="1">Y$181*(1+AVERAGE(Popn!Z$244,Popn!Z$245))*Z$29/Y$29</f>
        <v>0.50623821897494115</v>
      </c>
      <c r="AA181" s="26">
        <f ca="1">Z$181*(1+AVERAGE(Popn!AA$244,Popn!AA$245))*AA$29/Z$29</f>
        <v>0.52489831580177815</v>
      </c>
      <c r="AB181" s="26">
        <f ca="1">AA$181*(1+AVERAGE(Popn!AB$244,Popn!AB$245))*AB$29/AA$29</f>
        <v>0.54349887082768233</v>
      </c>
      <c r="AC181" s="26">
        <f ca="1">AB$181*(1+AVERAGE(Popn!AC$244,Popn!AC$245))*AC$29/AB$29</f>
        <v>0.56185962626447217</v>
      </c>
      <c r="AD181" s="26"/>
      <c r="AE181" s="26"/>
    </row>
    <row r="182" spans="1:31" x14ac:dyDescent="0.2">
      <c r="A182" s="3" t="s">
        <v>431</v>
      </c>
      <c r="B182" s="4" t="str">
        <f t="shared" si="127"/>
        <v>From Fiscal Forecasts</v>
      </c>
      <c r="F182" s="21">
        <f>'Fiscal Forecasts'!F$233</f>
        <v>0.38200000000000001</v>
      </c>
      <c r="G182" s="21">
        <f>'Fiscal Forecasts'!G$233</f>
        <v>0.38600000000000001</v>
      </c>
      <c r="H182" s="21">
        <f>'Fiscal Forecasts'!H$233</f>
        <v>0.44400000000000001</v>
      </c>
      <c r="I182" s="21">
        <f>'Fiscal Forecasts'!I$233</f>
        <v>0.56999999999999995</v>
      </c>
      <c r="J182" s="21">
        <f>'Fiscal Forecasts'!J$233</f>
        <v>0.62</v>
      </c>
      <c r="K182" s="21">
        <f>'Fiscal Forecasts'!K$233</f>
        <v>0.64400000000000002</v>
      </c>
      <c r="L182" s="21">
        <f>'Fiscal Forecasts'!L$233</f>
        <v>0.59599999999999997</v>
      </c>
      <c r="M182" s="21">
        <f>'Fiscal Forecasts'!M$233</f>
        <v>0.53900000000000003</v>
      </c>
      <c r="N182" s="21">
        <f>'Fiscal Forecasts'!N$233 +IF($D$2="Yes",'Fiscal Forecast Adjuster'!E$26,0)/1000</f>
        <v>0.51100000000000001</v>
      </c>
      <c r="O182" s="24">
        <f>'Fiscal Forecasts'!O$233 +IF($D$2="Yes",'Fiscal Forecast Adjuster'!F$26,0)/1000</f>
        <v>0.50900000000000001</v>
      </c>
      <c r="P182" s="24">
        <f>'Fiscal Forecasts'!P$233 +IF($D$2="Yes",'Fiscal Forecast Adjuster'!G$26,0)/1000</f>
        <v>0.54500000000000004</v>
      </c>
      <c r="Q182" s="24">
        <f>'Fiscal Forecasts'!Q$233 +IF($D$2="Yes",'Fiscal Forecast Adjuster'!H$26,0)/1000</f>
        <v>0.56100000000000005</v>
      </c>
      <c r="R182" s="24">
        <f>'Fiscal Forecasts'!R$233 +IF($D$2="Yes",'Fiscal Forecast Adjuster'!I$26,0)/1000</f>
        <v>0.56000000000000005</v>
      </c>
      <c r="S182" s="24">
        <f>'Fiscal Forecasts'!S$233 +IF($D$2="Yes",'Fiscal Forecast Adjuster'!J$26,0)/1000</f>
        <v>0.56699999999999995</v>
      </c>
      <c r="T182" s="26">
        <f ca="1">S$182*SUM(1,Popn!T$210*Tracks!$P$61,Popn!T$211*Tracks!$R$61,Popn!T$212*Tracks!$T$61,Popn!T$222*Tracks!$V$61,AVERAGE(Popn!T$223,Popn!T$224)*Tracks!$X$61,Popn!T$227*Tracks!$Q$61,Popn!T$228*Tracks!$S$61,Popn!T$229*Tracks!$U$61,Popn!T$239*Tracks!$W$61,AVERAGE(Popn!T$240,Popn!T$241)*Tracks!$Y$61)*T$29/S$29</f>
        <v>0.57644494637101884</v>
      </c>
      <c r="U182" s="26">
        <f ca="1">T$182*SUM(1,Popn!U$210*Tracks!$P$61,Popn!U$211*Tracks!$R$61,Popn!U$212*Tracks!$T$61,Popn!U$222*Tracks!$V$61,AVERAGE(Popn!U$223,Popn!U$224)*Tracks!$X$61,Popn!U$227*Tracks!$Q$61,Popn!U$228*Tracks!$S$61,Popn!U$229*Tracks!$U$61,Popn!U$239*Tracks!$W$61,AVERAGE(Popn!U$240,Popn!U$241)*Tracks!$Y$61)*U$29/T$29</f>
        <v>0.5883856112264948</v>
      </c>
      <c r="V182" s="26">
        <f ca="1">U$182*SUM(1,Popn!V$210*Tracks!$P$61,Popn!V$211*Tracks!$R$61,Popn!V$212*Tracks!$T$61,Popn!V$222*Tracks!$V$61,AVERAGE(Popn!V$223,Popn!V$224)*Tracks!$X$61,Popn!V$227*Tracks!$Q$61,Popn!V$228*Tracks!$S$61,Popn!V$229*Tracks!$U$61,Popn!V$239*Tracks!$W$61,AVERAGE(Popn!V$240,Popn!V$241)*Tracks!$Y$61)*V$29/U$29</f>
        <v>0.6009522527410287</v>
      </c>
      <c r="W182" s="26">
        <f ca="1">V$182*SUM(1,Popn!W$210*Tracks!$P$61,Popn!W$211*Tracks!$R$61,Popn!W$212*Tracks!$T$61,Popn!W$222*Tracks!$V$61,AVERAGE(Popn!W$223,Popn!W$224)*Tracks!$X$61,Popn!W$227*Tracks!$Q$61,Popn!W$228*Tracks!$S$61,Popn!W$229*Tracks!$U$61,Popn!W$239*Tracks!$W$61,AVERAGE(Popn!W$240,Popn!W$241)*Tracks!$Y$61)*W$29/V$29</f>
        <v>0.61563262190646872</v>
      </c>
      <c r="X182" s="26">
        <f ca="1">W$182*SUM(1,Popn!X$210*Tracks!$P$61,Popn!X$211*Tracks!$R$61,Popn!X$212*Tracks!$T$61,Popn!X$222*Tracks!$V$61,AVERAGE(Popn!X$223,Popn!X$224)*Tracks!$X$61,Popn!X$227*Tracks!$Q$61,Popn!X$228*Tracks!$S$61,Popn!X$229*Tracks!$U$61,Popn!X$239*Tracks!$W$61,AVERAGE(Popn!X$240,Popn!X$241)*Tracks!$Y$61)*X$29/W$29</f>
        <v>0.63255621402860607</v>
      </c>
      <c r="Y182" s="26">
        <f ca="1">X$182*SUM(1,Popn!Y$210*Tracks!$P$61,Popn!Y$211*Tracks!$R$61,Popn!Y$212*Tracks!$T$61,Popn!Y$222*Tracks!$V$61,AVERAGE(Popn!Y$223,Popn!Y$224)*Tracks!$X$61,Popn!Y$227*Tracks!$Q$61,Popn!Y$228*Tracks!$S$61,Popn!Y$229*Tracks!$U$61,Popn!Y$239*Tracks!$W$61,AVERAGE(Popn!Y$240,Popn!Y$241)*Tracks!$Y$61)*Y$29/X$29</f>
        <v>0.65223091048484372</v>
      </c>
      <c r="Z182" s="26">
        <f ca="1">Y$182*SUM(1,Popn!Z$210*Tracks!$P$61,Popn!Z$211*Tracks!$R$61,Popn!Z$212*Tracks!$T$61,Popn!Z$222*Tracks!$V$61,AVERAGE(Popn!Z$223,Popn!Z$224)*Tracks!$X$61,Popn!Z$227*Tracks!$Q$61,Popn!Z$228*Tracks!$S$61,Popn!Z$229*Tracks!$U$61,Popn!Z$239*Tracks!$W$61,AVERAGE(Popn!Z$240,Popn!Z$241)*Tracks!$Y$61)*Z$29/Y$29</f>
        <v>0.67178420967286256</v>
      </c>
      <c r="AA182" s="26">
        <f ca="1">Z$182*SUM(1,Popn!AA$210*Tracks!$P$61,Popn!AA$211*Tracks!$R$61,Popn!AA$212*Tracks!$T$61,Popn!AA$222*Tracks!$V$61,AVERAGE(Popn!AA$223,Popn!AA$224)*Tracks!$X$61,Popn!AA$227*Tracks!$Q$61,Popn!AA$228*Tracks!$S$61,Popn!AA$229*Tracks!$U$61,Popn!AA$239*Tracks!$W$61,AVERAGE(Popn!AA$240,Popn!AA$241)*Tracks!$Y$61)*AA$29/Z$29</f>
        <v>0.69141093822710864</v>
      </c>
      <c r="AB182" s="26">
        <f ca="1">AA$182*SUM(1,Popn!AB$210*Tracks!$P$61,Popn!AB$211*Tracks!$R$61,Popn!AB$212*Tracks!$T$61,Popn!AB$222*Tracks!$V$61,AVERAGE(Popn!AB$223,Popn!AB$224)*Tracks!$X$61,Popn!AB$227*Tracks!$Q$61,Popn!AB$228*Tracks!$S$61,Popn!AB$229*Tracks!$U$61,Popn!AB$239*Tracks!$W$61,AVERAGE(Popn!AB$240,Popn!AB$241)*Tracks!$Y$61)*AB$29/AA$29</f>
        <v>0.70906385721328868</v>
      </c>
      <c r="AC182" s="26">
        <f ca="1">AB$182*SUM(1,Popn!AC$210*Tracks!$P$61,Popn!AC$211*Tracks!$R$61,Popn!AC$212*Tracks!$T$61,Popn!AC$222*Tracks!$V$61,AVERAGE(Popn!AC$223,Popn!AC$224)*Tracks!$X$61,Popn!AC$227*Tracks!$Q$61,Popn!AC$228*Tracks!$S$61,Popn!AC$229*Tracks!$U$61,Popn!AC$239*Tracks!$W$61,AVERAGE(Popn!AC$240,Popn!AC$241)*Tracks!$Y$61)*AC$29/AB$29</f>
        <v>0.72509409583970985</v>
      </c>
      <c r="AD182" s="26"/>
      <c r="AE182" s="26"/>
    </row>
    <row r="183" spans="1:31" x14ac:dyDescent="0.2">
      <c r="A183" s="3" t="s">
        <v>432</v>
      </c>
      <c r="B183" s="4" t="str">
        <f t="shared" si="127"/>
        <v>From Fiscal Forecasts</v>
      </c>
      <c r="F183" s="21">
        <f>'Fiscal Forecasts'!F$234</f>
        <v>1.1539999999999999</v>
      </c>
      <c r="G183" s="21">
        <f>'Fiscal Forecasts'!G$234</f>
        <v>1.2250000000000001</v>
      </c>
      <c r="H183" s="21">
        <f>'Fiscal Forecasts'!H$234</f>
        <v>1.49</v>
      </c>
      <c r="I183" s="21">
        <f>'Fiscal Forecasts'!I$234</f>
        <v>1.3840000000000001</v>
      </c>
      <c r="J183" s="21">
        <f>'Fiscal Forecasts'!J$234</f>
        <v>1.5309999999999999</v>
      </c>
      <c r="K183" s="21">
        <f>'Fiscal Forecasts'!K$234</f>
        <v>1.288</v>
      </c>
      <c r="L183" s="21">
        <f>'Fiscal Forecasts'!L$234</f>
        <v>1.29</v>
      </c>
      <c r="M183" s="21">
        <f>'Fiscal Forecasts'!M$234</f>
        <v>1.3459999999999999</v>
      </c>
      <c r="N183" s="21">
        <f>'Fiscal Forecasts'!N$234 +IF($D$2="Yes",'Fiscal Forecast Adjuster'!E$25,0)/1000</f>
        <v>1.2549999999999999</v>
      </c>
      <c r="O183" s="24">
        <f>'Fiscal Forecasts'!O$234 +IF($D$2="Yes",'Fiscal Forecast Adjuster'!F$25,0)/1000</f>
        <v>1.415</v>
      </c>
      <c r="P183" s="24">
        <f>'Fiscal Forecasts'!P$234 +IF($D$2="Yes",'Fiscal Forecast Adjuster'!G$25,0)/1000</f>
        <v>1.4370000000000001</v>
      </c>
      <c r="Q183" s="24">
        <f>'Fiscal Forecasts'!Q$234 +IF($D$2="Yes",'Fiscal Forecast Adjuster'!H$25,0)/1000</f>
        <v>1.4490000000000001</v>
      </c>
      <c r="R183" s="24">
        <f>'Fiscal Forecasts'!R$234 +IF($D$2="Yes",'Fiscal Forecast Adjuster'!I$25,0)/1000</f>
        <v>1.46</v>
      </c>
      <c r="S183" s="24">
        <f>'Fiscal Forecasts'!S$234 +IF($D$2="Yes",'Fiscal Forecast Adjuster'!J$25,0)/1000</f>
        <v>1.4810000000000001</v>
      </c>
      <c r="T183" s="26">
        <f t="shared" ref="T183:AC183" ca="1" si="132">S$183*T$17/S$17*T$29/S$29</f>
        <v>1.5265683557896583</v>
      </c>
      <c r="U183" s="26">
        <f t="shared" ca="1" si="132"/>
        <v>1.5736623826809804</v>
      </c>
      <c r="V183" s="26">
        <f t="shared" ca="1" si="132"/>
        <v>1.6228165268291346</v>
      </c>
      <c r="W183" s="26">
        <f t="shared" ca="1" si="132"/>
        <v>1.6729163015161594</v>
      </c>
      <c r="X183" s="26">
        <f t="shared" ca="1" si="132"/>
        <v>1.7245095029527997</v>
      </c>
      <c r="Y183" s="26">
        <f t="shared" ca="1" si="132"/>
        <v>1.7765036477470562</v>
      </c>
      <c r="Z183" s="26">
        <f t="shared" ca="1" si="132"/>
        <v>1.8291625845745334</v>
      </c>
      <c r="AA183" s="26">
        <f t="shared" ca="1" si="132"/>
        <v>1.8823795750604388</v>
      </c>
      <c r="AB183" s="26">
        <f t="shared" ca="1" si="132"/>
        <v>1.9358982397434052</v>
      </c>
      <c r="AC183" s="26">
        <f t="shared" ca="1" si="132"/>
        <v>1.9900258712625813</v>
      </c>
      <c r="AD183" s="26"/>
      <c r="AE183" s="26"/>
    </row>
    <row r="184" spans="1:31" x14ac:dyDescent="0.2">
      <c r="A184" s="31" t="s">
        <v>433</v>
      </c>
      <c r="F184" s="56">
        <f>SUM(F$172:F$183)</f>
        <v>16.015999999999998</v>
      </c>
      <c r="G184" s="56">
        <f t="shared" ref="G184:AC184" si="133">SUM(G$172:G$183)</f>
        <v>16.91</v>
      </c>
      <c r="H184" s="56">
        <f t="shared" si="133"/>
        <v>18.222999999999999</v>
      </c>
      <c r="I184" s="56">
        <f t="shared" si="133"/>
        <v>19.753999999999998</v>
      </c>
      <c r="J184" s="56">
        <f t="shared" si="133"/>
        <v>20.634999999999998</v>
      </c>
      <c r="K184" s="56">
        <f t="shared" si="133"/>
        <v>21.155999999999999</v>
      </c>
      <c r="L184" s="56">
        <f t="shared" si="133"/>
        <v>21.547999999999998</v>
      </c>
      <c r="M184" s="56">
        <f t="shared" si="133"/>
        <v>22.023000000000007</v>
      </c>
      <c r="N184" s="56">
        <f t="shared" si="133"/>
        <v>22.353999999999996</v>
      </c>
      <c r="O184" s="57">
        <f t="shared" si="133"/>
        <v>23.216999999999999</v>
      </c>
      <c r="P184" s="57">
        <f t="shared" si="133"/>
        <v>24.245000000000005</v>
      </c>
      <c r="Q184" s="57">
        <f t="shared" si="133"/>
        <v>25.071000000000002</v>
      </c>
      <c r="R184" s="57">
        <f t="shared" si="133"/>
        <v>25.798999999999999</v>
      </c>
      <c r="S184" s="57">
        <f t="shared" si="133"/>
        <v>26.912000000000003</v>
      </c>
      <c r="T184" s="58">
        <f t="shared" ca="1" si="133"/>
        <v>28.078093772794162</v>
      </c>
      <c r="U184" s="58">
        <f t="shared" ca="1" si="133"/>
        <v>29.38873200750189</v>
      </c>
      <c r="V184" s="58">
        <f t="shared" ca="1" si="133"/>
        <v>30.914256110694787</v>
      </c>
      <c r="W184" s="58">
        <f t="shared" ca="1" si="133"/>
        <v>32.549102828943781</v>
      </c>
      <c r="X184" s="58">
        <f t="shared" ca="1" si="133"/>
        <v>34.268892317117761</v>
      </c>
      <c r="Y184" s="58">
        <f t="shared" ca="1" si="133"/>
        <v>36.101790702266612</v>
      </c>
      <c r="Z184" s="58">
        <f t="shared" ca="1" si="133"/>
        <v>38.035903498353356</v>
      </c>
      <c r="AA184" s="58">
        <f t="shared" ca="1" si="133"/>
        <v>40.035385330315641</v>
      </c>
      <c r="AB184" s="58">
        <f t="shared" ca="1" si="133"/>
        <v>42.078160760989554</v>
      </c>
      <c r="AC184" s="58">
        <f t="shared" ca="1" si="133"/>
        <v>44.131826007306678</v>
      </c>
      <c r="AD184" s="26"/>
      <c r="AE184" s="26"/>
    </row>
    <row r="185" spans="1:31" x14ac:dyDescent="0.2">
      <c r="A185" s="3" t="s">
        <v>434</v>
      </c>
      <c r="B185" s="4" t="str">
        <f>$B$46</f>
        <v>From Fiscal Forecasts</v>
      </c>
      <c r="F185" s="21">
        <f>'Fiscal Forecasts'!F$235</f>
        <v>0</v>
      </c>
      <c r="G185" s="21">
        <f>'Fiscal Forecasts'!G$235</f>
        <v>1.1020000000000001</v>
      </c>
      <c r="H185" s="21">
        <f>'Fiscal Forecasts'!H$235</f>
        <v>1.2809999999999999</v>
      </c>
      <c r="I185" s="21">
        <f>'Fiscal Forecasts'!I$235</f>
        <v>1.024</v>
      </c>
      <c r="J185" s="21">
        <f>'Fiscal Forecasts'!J$235</f>
        <v>1.042</v>
      </c>
      <c r="K185" s="21">
        <f>'Fiscal Forecasts'!K$235</f>
        <v>0.68799999999999994</v>
      </c>
      <c r="L185" s="21">
        <f>'Fiscal Forecasts'!L$235</f>
        <v>0.72299999999999998</v>
      </c>
      <c r="M185" s="21">
        <f>'Fiscal Forecasts'!M$235</f>
        <v>0.80400000000000005</v>
      </c>
      <c r="N185" s="21">
        <f>'Fiscal Forecasts'!N$235 +IF($D$2="Yes",'Fiscal Forecast Adjuster'!E$27,0)/1000</f>
        <v>0.85599999999999998</v>
      </c>
      <c r="O185" s="24">
        <f>'Fiscal Forecasts'!O$235 +IF($D$2="Yes",'Fiscal Forecast Adjuster'!F$27,0)/1000</f>
        <v>0.70899999999999996</v>
      </c>
      <c r="P185" s="24">
        <f>'Fiscal Forecasts'!P$235 +IF($D$2="Yes",'Fiscal Forecast Adjuster'!G$27,0)/1000</f>
        <v>0.749</v>
      </c>
      <c r="Q185" s="24">
        <f>'Fiscal Forecasts'!Q$235 +IF($D$2="Yes",'Fiscal Forecast Adjuster'!H$27,0)/1000</f>
        <v>0.78300000000000003</v>
      </c>
      <c r="R185" s="24">
        <f>'Fiscal Forecasts'!R$235 +IF($D$2="Yes",'Fiscal Forecast Adjuster'!I$27,0)/1000</f>
        <v>0.81799999999999995</v>
      </c>
      <c r="S185" s="24">
        <f>'Fiscal Forecasts'!S$235 +IF($D$2="Yes",'Fiscal Forecast Adjuster'!J$27,0)/1000</f>
        <v>0.85499999999999998</v>
      </c>
      <c r="T185" s="26">
        <f>Tracks!T$38</f>
        <v>0.88800000000000001</v>
      </c>
      <c r="U185" s="26">
        <f>Tracks!U$38</f>
        <v>0.92300000000000004</v>
      </c>
      <c r="V185" s="61">
        <f t="shared" ref="V185:AC185" ca="1" si="134">U$185*V$11/U$11</f>
        <v>0.96443385586871944</v>
      </c>
      <c r="W185" s="26">
        <f t="shared" ca="1" si="134"/>
        <v>1.007407908169291</v>
      </c>
      <c r="X185" s="26">
        <f t="shared" ca="1" si="134"/>
        <v>1.0521542963946802</v>
      </c>
      <c r="Y185" s="26">
        <f t="shared" ca="1" si="134"/>
        <v>1.0983474014185413</v>
      </c>
      <c r="Z185" s="26">
        <f t="shared" ca="1" si="134"/>
        <v>1.1458931562994643</v>
      </c>
      <c r="AA185" s="26">
        <f t="shared" ca="1" si="134"/>
        <v>1.1948250120579438</v>
      </c>
      <c r="AB185" s="26">
        <f t="shared" ca="1" si="134"/>
        <v>1.2449540169784801</v>
      </c>
      <c r="AC185" s="26">
        <f t="shared" ca="1" si="134"/>
        <v>1.2965414290351753</v>
      </c>
      <c r="AD185" s="26"/>
      <c r="AE185" s="26"/>
    </row>
    <row r="186" spans="1:31" x14ac:dyDescent="0.2">
      <c r="A186" s="3" t="s">
        <v>435</v>
      </c>
      <c r="B186" s="4" t="str">
        <f>$B$46</f>
        <v>From Fiscal Forecasts</v>
      </c>
      <c r="F186" s="21">
        <f>'Fiscal Forecasts'!F$236</f>
        <v>0.33</v>
      </c>
      <c r="G186" s="21">
        <f>'Fiscal Forecasts'!G$236</f>
        <v>0.36199999999999999</v>
      </c>
      <c r="H186" s="21">
        <f>'Fiscal Forecasts'!H$236</f>
        <v>0.45800000000000002</v>
      </c>
      <c r="I186" s="21">
        <f>'Fiscal Forecasts'!I$236</f>
        <v>0.435</v>
      </c>
      <c r="J186" s="21">
        <f>'Fiscal Forecasts'!J$236</f>
        <v>0.495</v>
      </c>
      <c r="K186" s="21">
        <f>'Fiscal Forecasts'!K$236</f>
        <v>0.51</v>
      </c>
      <c r="L186" s="21">
        <f>'Fiscal Forecasts'!L$236</f>
        <v>0.437</v>
      </c>
      <c r="M186" s="21">
        <f>'Fiscal Forecasts'!M$236</f>
        <v>0.53300000000000003</v>
      </c>
      <c r="N186" s="21">
        <f>'Fiscal Forecasts'!N$236</f>
        <v>0.51300000000000001</v>
      </c>
      <c r="O186" s="24">
        <f>'Fiscal Forecasts'!O$236</f>
        <v>0.55900000000000005</v>
      </c>
      <c r="P186" s="24">
        <f>'Fiscal Forecasts'!P$236</f>
        <v>0.57199999999999995</v>
      </c>
      <c r="Q186" s="24">
        <f>'Fiscal Forecasts'!Q$236</f>
        <v>0.58599999999999997</v>
      </c>
      <c r="R186" s="24">
        <f>'Fiscal Forecasts'!R$236</f>
        <v>0.58599999999999997</v>
      </c>
      <c r="S186" s="24">
        <f>'Fiscal Forecasts'!S$236</f>
        <v>0.58599999999999997</v>
      </c>
      <c r="T186" s="26">
        <f t="shared" ref="T186:AC186" ca="1" si="135">S$186*T$11/S$11</f>
        <v>0.61202581429728042</v>
      </c>
      <c r="U186" s="26">
        <f t="shared" ca="1" si="135"/>
        <v>0.63915728044855957</v>
      </c>
      <c r="V186" s="26">
        <f t="shared" ca="1" si="135"/>
        <v>0.66784931797353064</v>
      </c>
      <c r="W186" s="26">
        <f t="shared" ca="1" si="135"/>
        <v>0.69760790778749338</v>
      </c>
      <c r="X186" s="26">
        <f t="shared" ca="1" si="135"/>
        <v>0.72859380140399943</v>
      </c>
      <c r="Y186" s="26">
        <f t="shared" ca="1" si="135"/>
        <v>0.76058151471117796</v>
      </c>
      <c r="Z186" s="26">
        <f t="shared" ca="1" si="135"/>
        <v>0.79350590841276492</v>
      </c>
      <c r="AA186" s="26">
        <f t="shared" ca="1" si="135"/>
        <v>0.82739014660766308</v>
      </c>
      <c r="AB186" s="26">
        <f t="shared" ca="1" si="135"/>
        <v>0.86210338437212941</v>
      </c>
      <c r="AC186" s="26">
        <f t="shared" ca="1" si="135"/>
        <v>0.89782653713002381</v>
      </c>
      <c r="AD186" s="26"/>
      <c r="AE186" s="26"/>
    </row>
    <row r="187" spans="1:31" x14ac:dyDescent="0.2">
      <c r="A187" s="31" t="s">
        <v>436</v>
      </c>
      <c r="F187" s="56">
        <f>SUM(F$184:F$186)</f>
        <v>16.345999999999997</v>
      </c>
      <c r="G187" s="56">
        <f t="shared" ref="G187:AC187" si="136">SUM(G$184:G$186)</f>
        <v>18.373999999999999</v>
      </c>
      <c r="H187" s="56">
        <f t="shared" si="136"/>
        <v>19.961999999999996</v>
      </c>
      <c r="I187" s="56">
        <f t="shared" si="136"/>
        <v>21.212999999999997</v>
      </c>
      <c r="J187" s="56">
        <f t="shared" si="136"/>
        <v>22.172000000000001</v>
      </c>
      <c r="K187" s="56">
        <f t="shared" si="136"/>
        <v>22.353999999999999</v>
      </c>
      <c r="L187" s="56">
        <f t="shared" si="136"/>
        <v>22.707999999999998</v>
      </c>
      <c r="M187" s="56">
        <f t="shared" si="136"/>
        <v>23.360000000000007</v>
      </c>
      <c r="N187" s="56">
        <f t="shared" si="136"/>
        <v>23.722999999999999</v>
      </c>
      <c r="O187" s="57">
        <f t="shared" si="136"/>
        <v>24.484999999999999</v>
      </c>
      <c r="P187" s="57">
        <f t="shared" si="136"/>
        <v>25.566000000000003</v>
      </c>
      <c r="Q187" s="57">
        <f t="shared" si="136"/>
        <v>26.44</v>
      </c>
      <c r="R187" s="57">
        <f t="shared" si="136"/>
        <v>27.202999999999999</v>
      </c>
      <c r="S187" s="57">
        <f t="shared" si="136"/>
        <v>28.353000000000002</v>
      </c>
      <c r="T187" s="58">
        <f t="shared" ca="1" si="136"/>
        <v>29.578119587091443</v>
      </c>
      <c r="U187" s="58">
        <f t="shared" ca="1" si="136"/>
        <v>30.950889287950449</v>
      </c>
      <c r="V187" s="58">
        <f t="shared" ca="1" si="136"/>
        <v>32.54653928453704</v>
      </c>
      <c r="W187" s="58">
        <f t="shared" ca="1" si="136"/>
        <v>34.254118644900565</v>
      </c>
      <c r="X187" s="58">
        <f t="shared" ca="1" si="136"/>
        <v>36.049640414916446</v>
      </c>
      <c r="Y187" s="58">
        <f t="shared" ca="1" si="136"/>
        <v>37.960719618396332</v>
      </c>
      <c r="Z187" s="58">
        <f t="shared" ca="1" si="136"/>
        <v>39.975302563065583</v>
      </c>
      <c r="AA187" s="58">
        <f t="shared" ca="1" si="136"/>
        <v>42.057600488981244</v>
      </c>
      <c r="AB187" s="58">
        <f t="shared" ca="1" si="136"/>
        <v>44.185218162340163</v>
      </c>
      <c r="AC187" s="58">
        <f t="shared" ca="1" si="136"/>
        <v>46.326193973471874</v>
      </c>
      <c r="AD187" s="26"/>
      <c r="AE187" s="26"/>
    </row>
    <row r="188" spans="1:31" x14ac:dyDescent="0.2">
      <c r="A188" s="31" t="s">
        <v>452</v>
      </c>
      <c r="B188" s="4" t="str">
        <f>$B$46</f>
        <v>From Fiscal Forecasts</v>
      </c>
      <c r="F188" s="62">
        <f>'Fiscal Forecasts'!F$167</f>
        <v>16.452999999999999</v>
      </c>
      <c r="G188" s="62">
        <f>'Fiscal Forecasts'!G$167</f>
        <v>18.518999999999998</v>
      </c>
      <c r="H188" s="62">
        <f>'Fiscal Forecasts'!H$167</f>
        <v>20.244</v>
      </c>
      <c r="I188" s="62">
        <f>'Fiscal Forecasts'!I$167</f>
        <v>21.484000000000002</v>
      </c>
      <c r="J188" s="62">
        <f>'Fiscal Forecasts'!J$167</f>
        <v>22.227</v>
      </c>
      <c r="K188" s="62">
        <f>'Fiscal Forecasts'!K$167</f>
        <v>22.367000000000001</v>
      </c>
      <c r="L188" s="62">
        <f>'Fiscal Forecasts'!L$167</f>
        <v>22.709</v>
      </c>
      <c r="M188" s="62">
        <f>'Fiscal Forecasts'!M$167</f>
        <v>23.36</v>
      </c>
      <c r="N188" s="62">
        <f>'Fiscal Forecasts'!N$167 +IF($D$2="Yes",'Fiscal Forecast Adjuster'!E$28,0)/1000</f>
        <v>23.722999999999999</v>
      </c>
      <c r="O188" s="25">
        <f>'Fiscal Forecasts'!O$167 +IF($D$2="Yes",'Fiscal Forecast Adjuster'!F$28,0)/1000</f>
        <v>24.484999999999999</v>
      </c>
      <c r="P188" s="25">
        <f>'Fiscal Forecasts'!P$167 +IF($D$2="Yes",'Fiscal Forecast Adjuster'!G$28,0)/1000</f>
        <v>25.565999999999999</v>
      </c>
      <c r="Q188" s="25">
        <f>'Fiscal Forecasts'!Q$167 +IF($D$2="Yes",'Fiscal Forecast Adjuster'!H$28,0)/1000</f>
        <v>26.44</v>
      </c>
      <c r="R188" s="25">
        <f>'Fiscal Forecasts'!R$167 +IF($D$2="Yes",'Fiscal Forecast Adjuster'!I$28,0)/1000</f>
        <v>27.202999999999999</v>
      </c>
      <c r="S188" s="25">
        <f>'Fiscal Forecasts'!S$167 +IF($D$2="Yes",'Fiscal Forecast Adjuster'!J$28,0)/1000</f>
        <v>28.353000000000002</v>
      </c>
      <c r="T188" s="63">
        <f t="shared" ref="T188:AC188" ca="1" si="137">T$187</f>
        <v>29.578119587091443</v>
      </c>
      <c r="U188" s="63">
        <f t="shared" ca="1" si="137"/>
        <v>30.950889287950449</v>
      </c>
      <c r="V188" s="63">
        <f t="shared" ca="1" si="137"/>
        <v>32.54653928453704</v>
      </c>
      <c r="W188" s="63">
        <f t="shared" ca="1" si="137"/>
        <v>34.254118644900565</v>
      </c>
      <c r="X188" s="63">
        <f t="shared" ca="1" si="137"/>
        <v>36.049640414916446</v>
      </c>
      <c r="Y188" s="63">
        <f t="shared" ca="1" si="137"/>
        <v>37.960719618396332</v>
      </c>
      <c r="Z188" s="63">
        <f t="shared" ca="1" si="137"/>
        <v>39.975302563065583</v>
      </c>
      <c r="AA188" s="63">
        <f t="shared" ca="1" si="137"/>
        <v>42.057600488981244</v>
      </c>
      <c r="AB188" s="63">
        <f t="shared" ca="1" si="137"/>
        <v>44.185218162340163</v>
      </c>
      <c r="AC188" s="63">
        <f t="shared" ca="1" si="137"/>
        <v>46.326193973471874</v>
      </c>
      <c r="AD188" s="26"/>
      <c r="AE188" s="26"/>
    </row>
    <row r="189" spans="1:31" x14ac:dyDescent="0.2">
      <c r="A189" s="3" t="s">
        <v>453</v>
      </c>
      <c r="B189" s="4"/>
      <c r="F189" s="21">
        <f>F$184-F$182</f>
        <v>15.633999999999999</v>
      </c>
      <c r="G189" s="21">
        <f t="shared" ref="G189:AC189" si="138">G$184-G$182</f>
        <v>16.524000000000001</v>
      </c>
      <c r="H189" s="21">
        <f t="shared" si="138"/>
        <v>17.779</v>
      </c>
      <c r="I189" s="21">
        <f t="shared" si="138"/>
        <v>19.183999999999997</v>
      </c>
      <c r="J189" s="21">
        <f t="shared" si="138"/>
        <v>20.014999999999997</v>
      </c>
      <c r="K189" s="21">
        <f t="shared" si="138"/>
        <v>20.512</v>
      </c>
      <c r="L189" s="21">
        <f t="shared" si="138"/>
        <v>20.951999999999998</v>
      </c>
      <c r="M189" s="21">
        <f t="shared" si="138"/>
        <v>21.484000000000005</v>
      </c>
      <c r="N189" s="21">
        <f t="shared" si="138"/>
        <v>21.842999999999996</v>
      </c>
      <c r="O189" s="24">
        <f t="shared" si="138"/>
        <v>22.707999999999998</v>
      </c>
      <c r="P189" s="24">
        <f t="shared" si="138"/>
        <v>23.700000000000003</v>
      </c>
      <c r="Q189" s="24">
        <f t="shared" si="138"/>
        <v>24.51</v>
      </c>
      <c r="R189" s="24">
        <f t="shared" si="138"/>
        <v>25.239000000000001</v>
      </c>
      <c r="S189" s="24">
        <f t="shared" si="138"/>
        <v>26.345000000000002</v>
      </c>
      <c r="T189" s="26">
        <f t="shared" ca="1" si="138"/>
        <v>27.501648826423143</v>
      </c>
      <c r="U189" s="26">
        <f t="shared" ca="1" si="138"/>
        <v>28.800346396275394</v>
      </c>
      <c r="V189" s="26">
        <f t="shared" ca="1" si="138"/>
        <v>30.313303857953759</v>
      </c>
      <c r="W189" s="26">
        <f t="shared" ca="1" si="138"/>
        <v>31.933470207037313</v>
      </c>
      <c r="X189" s="26">
        <f t="shared" ca="1" si="138"/>
        <v>33.636336103089157</v>
      </c>
      <c r="Y189" s="26">
        <f t="shared" ca="1" si="138"/>
        <v>35.449559791781766</v>
      </c>
      <c r="Z189" s="26">
        <f t="shared" ca="1" si="138"/>
        <v>37.364119288680492</v>
      </c>
      <c r="AA189" s="26">
        <f t="shared" ca="1" si="138"/>
        <v>39.343974392088533</v>
      </c>
      <c r="AB189" s="26">
        <f t="shared" ca="1" si="138"/>
        <v>41.369096903776267</v>
      </c>
      <c r="AC189" s="26">
        <f t="shared" ca="1" si="138"/>
        <v>43.40673191146697</v>
      </c>
      <c r="AD189" s="26"/>
      <c r="AE189" s="26"/>
    </row>
    <row r="190" spans="1:31" x14ac:dyDescent="0.2">
      <c r="A190" s="3" t="s">
        <v>454</v>
      </c>
      <c r="B190" s="4" t="str">
        <f>$B$46</f>
        <v>From Fiscal Forecasts</v>
      </c>
      <c r="F190" s="21">
        <f>'Fiscal Forecasts'!F$52-F$189</f>
        <v>1.1340000000000021</v>
      </c>
      <c r="G190" s="21">
        <f>'Fiscal Forecasts'!G$52-G$189</f>
        <v>1.352999999999998</v>
      </c>
      <c r="H190" s="21">
        <f>'Fiscal Forecasts'!H$52-H$189</f>
        <v>1.6030000000000015</v>
      </c>
      <c r="I190" s="21">
        <f>'Fiscal Forecasts'!I$52-I$189</f>
        <v>2.0010000000000012</v>
      </c>
      <c r="J190" s="21">
        <f>'Fiscal Forecasts'!J$52-J$189</f>
        <v>1.990000000000002</v>
      </c>
      <c r="K190" s="21">
        <f>'Fiscal Forecasts'!K$52-K$189</f>
        <v>1.5159999999999982</v>
      </c>
      <c r="L190" s="21">
        <f>'Fiscal Forecasts'!L$52-L$189</f>
        <v>1.7890000000000015</v>
      </c>
      <c r="M190" s="21">
        <f>'Fiscal Forecasts'!M$52-M$189</f>
        <v>1.5419999999999945</v>
      </c>
      <c r="N190" s="21">
        <f>'Fiscal Forecasts'!N$52-N$189 +IF($D$2="Yes",'Fiscal Forecast Adjuster'!E$28-SUM('Fiscal Forecast Adjuster'!E$26,'Fiscal Forecast Adjuster'!E$27),0)/1000</f>
        <v>1.6800000000000033</v>
      </c>
      <c r="O190" s="24">
        <f>'Fiscal Forecasts'!O$52-O$189 +IF($D$2="Yes",'Fiscal Forecast Adjuster'!F$28-SUM('Fiscal Forecast Adjuster'!F$26,'Fiscal Forecast Adjuster'!F$27),0)/1000</f>
        <v>1.6170000000000009</v>
      </c>
      <c r="P190" s="24">
        <f>'Fiscal Forecasts'!P$52-P$189 +IF($D$2="Yes",'Fiscal Forecast Adjuster'!G$28-SUM('Fiscal Forecast Adjuster'!G$26,'Fiscal Forecast Adjuster'!G$27),0)/1000</f>
        <v>1.5089999999999968</v>
      </c>
      <c r="Q190" s="24">
        <f>'Fiscal Forecasts'!Q$52-Q$189 +IF($D$2="Yes",'Fiscal Forecast Adjuster'!H$28-SUM('Fiscal Forecast Adjuster'!H$26,'Fiscal Forecast Adjuster'!H$27),0)/1000</f>
        <v>1.4969999999999999</v>
      </c>
      <c r="R190" s="24">
        <f>'Fiscal Forecasts'!R$52-R$189 +IF($D$2="Yes",'Fiscal Forecast Adjuster'!I$28-SUM('Fiscal Forecast Adjuster'!I$26,'Fiscal Forecast Adjuster'!I$27),0)/1000</f>
        <v>1.5069999999999979</v>
      </c>
      <c r="S190" s="24">
        <f>'Fiscal Forecasts'!S$52-S$189 +IF($D$2="Yes",'Fiscal Forecast Adjuster'!J$28-SUM('Fiscal Forecast Adjuster'!J$26,'Fiscal Forecast Adjuster'!J$27),0)/1000</f>
        <v>1.519999999999996</v>
      </c>
      <c r="T190" s="26">
        <f t="shared" ref="T190:AC190" si="139">S$190</f>
        <v>1.519999999999996</v>
      </c>
      <c r="U190" s="26">
        <f t="shared" si="139"/>
        <v>1.519999999999996</v>
      </c>
      <c r="V190" s="26">
        <f t="shared" si="139"/>
        <v>1.519999999999996</v>
      </c>
      <c r="W190" s="26">
        <f t="shared" si="139"/>
        <v>1.519999999999996</v>
      </c>
      <c r="X190" s="26">
        <f t="shared" si="139"/>
        <v>1.519999999999996</v>
      </c>
      <c r="Y190" s="26">
        <f t="shared" si="139"/>
        <v>1.519999999999996</v>
      </c>
      <c r="Z190" s="26">
        <f t="shared" si="139"/>
        <v>1.519999999999996</v>
      </c>
      <c r="AA190" s="26">
        <f t="shared" si="139"/>
        <v>1.519999999999996</v>
      </c>
      <c r="AB190" s="26">
        <f t="shared" si="139"/>
        <v>1.519999999999996</v>
      </c>
      <c r="AC190" s="26">
        <f t="shared" si="139"/>
        <v>1.519999999999996</v>
      </c>
      <c r="AD190" s="26"/>
      <c r="AE190" s="26"/>
    </row>
    <row r="191" spans="1:31" x14ac:dyDescent="0.2">
      <c r="A191" s="31" t="s">
        <v>455</v>
      </c>
      <c r="B191" s="4"/>
      <c r="F191" s="56">
        <f>SUM(F$189:F$190)</f>
        <v>16.768000000000001</v>
      </c>
      <c r="G191" s="56">
        <f t="shared" ref="G191:AC191" si="140">SUM(G$189:G$190)</f>
        <v>17.876999999999999</v>
      </c>
      <c r="H191" s="56">
        <f t="shared" si="140"/>
        <v>19.382000000000001</v>
      </c>
      <c r="I191" s="56">
        <f t="shared" si="140"/>
        <v>21.184999999999999</v>
      </c>
      <c r="J191" s="56">
        <f t="shared" si="140"/>
        <v>22.004999999999999</v>
      </c>
      <c r="K191" s="56">
        <f t="shared" si="140"/>
        <v>22.027999999999999</v>
      </c>
      <c r="L191" s="56">
        <f t="shared" si="140"/>
        <v>22.741</v>
      </c>
      <c r="M191" s="56">
        <f t="shared" si="140"/>
        <v>23.026</v>
      </c>
      <c r="N191" s="56">
        <f t="shared" si="140"/>
        <v>23.523</v>
      </c>
      <c r="O191" s="57">
        <f t="shared" si="140"/>
        <v>24.324999999999999</v>
      </c>
      <c r="P191" s="57">
        <f t="shared" si="140"/>
        <v>25.209</v>
      </c>
      <c r="Q191" s="57">
        <f t="shared" si="140"/>
        <v>26.007000000000001</v>
      </c>
      <c r="R191" s="57">
        <f t="shared" si="140"/>
        <v>26.745999999999999</v>
      </c>
      <c r="S191" s="57">
        <f t="shared" si="140"/>
        <v>27.864999999999998</v>
      </c>
      <c r="T191" s="58">
        <f t="shared" ca="1" si="140"/>
        <v>29.021648826423139</v>
      </c>
      <c r="U191" s="58">
        <f t="shared" ca="1" si="140"/>
        <v>30.32034639627539</v>
      </c>
      <c r="V191" s="58">
        <f t="shared" ca="1" si="140"/>
        <v>31.833303857953755</v>
      </c>
      <c r="W191" s="58">
        <f t="shared" ca="1" si="140"/>
        <v>33.453470207037313</v>
      </c>
      <c r="X191" s="58">
        <f t="shared" ca="1" si="140"/>
        <v>35.156336103089153</v>
      </c>
      <c r="Y191" s="58">
        <f t="shared" ca="1" si="140"/>
        <v>36.969559791781762</v>
      </c>
      <c r="Z191" s="58">
        <f t="shared" ca="1" si="140"/>
        <v>38.884119288680488</v>
      </c>
      <c r="AA191" s="58">
        <f t="shared" ca="1" si="140"/>
        <v>40.863974392088529</v>
      </c>
      <c r="AB191" s="58">
        <f t="shared" ca="1" si="140"/>
        <v>42.889096903776263</v>
      </c>
      <c r="AC191" s="58">
        <f t="shared" ca="1" si="140"/>
        <v>44.926731911466966</v>
      </c>
      <c r="AD191" s="26"/>
      <c r="AE191" s="26"/>
    </row>
    <row r="192" spans="1:31" x14ac:dyDescent="0.2">
      <c r="A192" s="32" t="s">
        <v>456</v>
      </c>
      <c r="B192" s="4" t="str">
        <f>$B$46</f>
        <v>From Fiscal Forecasts</v>
      </c>
      <c r="F192" s="21">
        <f>'Fiscal Forecasts'!F$168</f>
        <v>3.665</v>
      </c>
      <c r="G192" s="21">
        <f>'Fiscal Forecasts'!G$168</f>
        <v>4.3070000000000004</v>
      </c>
      <c r="H192" s="21">
        <f>'Fiscal Forecasts'!H$168</f>
        <v>4.7270000000000003</v>
      </c>
      <c r="I192" s="21">
        <f>'Fiscal Forecasts'!I$168</f>
        <v>3.8479999999999999</v>
      </c>
      <c r="J192" s="21">
        <f>'Fiscal Forecasts'!J$168</f>
        <v>3.9449999999999998</v>
      </c>
      <c r="K192" s="21">
        <f>'Fiscal Forecasts'!K$168</f>
        <v>4.0090000000000003</v>
      </c>
      <c r="L192" s="21">
        <f>'Fiscal Forecasts'!L$168</f>
        <v>4.1509999999999998</v>
      </c>
      <c r="M192" s="21">
        <f>'Fiscal Forecasts'!M$168</f>
        <v>4.5259999999999998</v>
      </c>
      <c r="N192" s="21">
        <f>'Fiscal Forecasts'!N$168</f>
        <v>5.2460000000000004</v>
      </c>
      <c r="O192" s="24">
        <f>'Fiscal Forecasts'!O$168</f>
        <v>5.1260000000000003</v>
      </c>
      <c r="P192" s="24">
        <f>'Fiscal Forecasts'!P$168</f>
        <v>5.31</v>
      </c>
      <c r="Q192" s="24">
        <f>'Fiscal Forecasts'!Q$168</f>
        <v>5.49</v>
      </c>
      <c r="R192" s="24">
        <f>'Fiscal Forecasts'!R$168</f>
        <v>5.8159999999999998</v>
      </c>
      <c r="S192" s="24">
        <f>'Fiscal Forecasts'!S$168</f>
        <v>6.0519999999999996</v>
      </c>
      <c r="T192" s="26">
        <f>S$192*Tracks!T$31/Tracks!S$31</f>
        <v>6.3225127491656989</v>
      </c>
      <c r="U192" s="26">
        <f>T$192*Tracks!U$31/Tracks!T$31</f>
        <v>6.617617801638354</v>
      </c>
      <c r="V192" s="26">
        <f>U$192*Tracks!V$31/Tracks!U$31</f>
        <v>6.9191025832521946</v>
      </c>
      <c r="W192" s="26">
        <f>V$192*Tracks!W$31/Tracks!V$31</f>
        <v>7.250064776844245</v>
      </c>
      <c r="X192" s="26">
        <f>W$192*Tracks!X$31/Tracks!W$31</f>
        <v>7.5531670852707711</v>
      </c>
      <c r="Y192" s="26">
        <f>X$192*Tracks!Y$31/Tracks!X$31</f>
        <v>7.8703511672393454</v>
      </c>
      <c r="Z192" s="26">
        <f>Y$192*Tracks!Z$31/Tracks!Y$31</f>
        <v>8.1801840232186009</v>
      </c>
      <c r="AA192" s="26">
        <f>Z$192*Tracks!AA$31/Tracks!Z$31</f>
        <v>8.4993968473147739</v>
      </c>
      <c r="AB192" s="26">
        <f>AA$192*Tracks!AB$31/Tracks!AA$31</f>
        <v>8.8283977873519319</v>
      </c>
      <c r="AC192" s="26">
        <f>AB$192*Tracks!AC$31/Tracks!AB$31</f>
        <v>9.1676132147459732</v>
      </c>
      <c r="AD192" s="26"/>
      <c r="AE192" s="26"/>
    </row>
    <row r="193" spans="1:31" x14ac:dyDescent="0.2">
      <c r="A193" s="32" t="s">
        <v>415</v>
      </c>
      <c r="B193" s="4" t="str">
        <f>$B$46</f>
        <v>From Fiscal Forecasts</v>
      </c>
      <c r="F193" s="21">
        <f>'Fiscal Forecasts'!F$35-SUM(F$191:F$192)</f>
        <v>-0.6039999999999992</v>
      </c>
      <c r="G193" s="21">
        <f>'Fiscal Forecasts'!G$35-SUM(G$191:G$192)</f>
        <v>-0.67499999999999716</v>
      </c>
      <c r="H193" s="21">
        <f>'Fiscal Forecasts'!H$35-SUM(H$191:H$192)</f>
        <v>-0.83600000000000207</v>
      </c>
      <c r="I193" s="21">
        <f>'Fiscal Forecasts'!I$35-SUM(I$191:I$192)</f>
        <v>-0.82699999999999818</v>
      </c>
      <c r="J193" s="21">
        <f>'Fiscal Forecasts'!J$35-SUM(J$191:J$192)</f>
        <v>-0.62599999999999767</v>
      </c>
      <c r="K193" s="21">
        <f>'Fiscal Forecasts'!K$35-SUM(K$191:K$192)</f>
        <v>-0.57999999999999829</v>
      </c>
      <c r="L193" s="21">
        <f>'Fiscal Forecasts'!L$35-SUM(L$191:L$192)</f>
        <v>-0.62399999999999878</v>
      </c>
      <c r="M193" s="21">
        <f>'Fiscal Forecasts'!M$35-SUM(M$191:M$192)</f>
        <v>-0.54100000000000037</v>
      </c>
      <c r="N193" s="21">
        <f>'Fiscal Forecasts'!N$35-SUM(N$191:N$192) +IF($D$2="Yes",'Fiscal Forecast Adjuster'!E$28-SUM('Fiscal Forecast Adjuster'!E$26,'Fiscal Forecast Adjuster'!E$27),0)/1000</f>
        <v>-0.5379999999999967</v>
      </c>
      <c r="O193" s="24">
        <f>'Fiscal Forecasts'!O$35-SUM(O$191:O$192) +IF($D$2="Yes",'Fiscal Forecast Adjuster'!F$28-SUM('Fiscal Forecast Adjuster'!F$26,'Fiscal Forecast Adjuster'!F$27),0)/1000</f>
        <v>-0.52299999999999969</v>
      </c>
      <c r="P193" s="24">
        <f>'Fiscal Forecasts'!P$35-SUM(P$191:P$192) +IF($D$2="Yes",'Fiscal Forecast Adjuster'!G$28-SUM('Fiscal Forecast Adjuster'!G$26,'Fiscal Forecast Adjuster'!G$27),0)/1000</f>
        <v>-0.55999999999999872</v>
      </c>
      <c r="Q193" s="24">
        <f>'Fiscal Forecasts'!Q$35-SUM(Q$191:Q$192) +IF($D$2="Yes",'Fiscal Forecast Adjuster'!H$28-SUM('Fiscal Forecast Adjuster'!H$26,'Fiscal Forecast Adjuster'!H$27),0)/1000</f>
        <v>-0.57699999999999818</v>
      </c>
      <c r="R193" s="24">
        <f>'Fiscal Forecasts'!R$35-SUM(R$191:R$192) +IF($D$2="Yes",'Fiscal Forecast Adjuster'!I$28-SUM('Fiscal Forecast Adjuster'!I$26,'Fiscal Forecast Adjuster'!I$27),0)/1000</f>
        <v>-0.59399999999999764</v>
      </c>
      <c r="S193" s="24">
        <f>'Fiscal Forecasts'!S$35-SUM(S$191:S$192) +IF($D$2="Yes",'Fiscal Forecast Adjuster'!J$28-SUM('Fiscal Forecast Adjuster'!J$26,'Fiscal Forecast Adjuster'!J$27),0)/1000</f>
        <v>-0.59400000000000119</v>
      </c>
      <c r="T193" s="26">
        <f>S$193*Tracks!T$32/Tracks!S$32</f>
        <v>-0.62330197245610142</v>
      </c>
      <c r="U193" s="26">
        <f>T$193*Tracks!U$32/Tracks!T$32</f>
        <v>-0.65583082032590678</v>
      </c>
      <c r="V193" s="26">
        <f>U$193*Tracks!V$32/Tracks!U$32</f>
        <v>-0.68771547618969731</v>
      </c>
      <c r="W193" s="26">
        <f>V$193*Tracks!W$32/Tracks!V$32</f>
        <v>-0.72609452163581489</v>
      </c>
      <c r="X193" s="26">
        <f>W$193*Tracks!X$32/Tracks!W$32</f>
        <v>-0.75865314974884979</v>
      </c>
      <c r="Y193" s="26">
        <f>X$193*Tracks!Y$32/Tracks!X$32</f>
        <v>-0.79378500040380351</v>
      </c>
      <c r="Z193" s="26">
        <f>Y$193*Tracks!Z$32/Tracks!Y$32</f>
        <v>-0.82335976785622844</v>
      </c>
      <c r="AA193" s="26">
        <f>Z$193*Tracks!AA$32/Tracks!Z$32</f>
        <v>-0.8529345353086496</v>
      </c>
      <c r="AB193" s="26">
        <f>AA$193*Tracks!AB$32/Tracks!AA$32</f>
        <v>-0.8825093027610732</v>
      </c>
      <c r="AC193" s="26">
        <f>AB$193*Tracks!AC$32/Tracks!AB$32</f>
        <v>-0.91208407021349835</v>
      </c>
      <c r="AD193" s="26"/>
      <c r="AE193" s="26"/>
    </row>
    <row r="194" spans="1:31" x14ac:dyDescent="0.2">
      <c r="A194" s="31" t="s">
        <v>458</v>
      </c>
      <c r="B194" s="4"/>
      <c r="F194" s="56">
        <f>SUM(F$191:F$193)</f>
        <v>19.829000000000001</v>
      </c>
      <c r="G194" s="56">
        <f t="shared" ref="G194:AC194" si="141">SUM(G$191:G$193)</f>
        <v>21.509</v>
      </c>
      <c r="H194" s="56">
        <f t="shared" si="141"/>
        <v>23.273</v>
      </c>
      <c r="I194" s="56">
        <f t="shared" si="141"/>
        <v>24.206</v>
      </c>
      <c r="J194" s="56">
        <f t="shared" si="141"/>
        <v>25.324000000000002</v>
      </c>
      <c r="K194" s="56">
        <f t="shared" si="141"/>
        <v>25.457000000000001</v>
      </c>
      <c r="L194" s="56">
        <f t="shared" si="141"/>
        <v>26.268000000000001</v>
      </c>
      <c r="M194" s="56">
        <f t="shared" si="141"/>
        <v>27.010999999999999</v>
      </c>
      <c r="N194" s="56">
        <f t="shared" si="141"/>
        <v>28.231000000000002</v>
      </c>
      <c r="O194" s="57">
        <f t="shared" si="141"/>
        <v>28.928000000000001</v>
      </c>
      <c r="P194" s="57">
        <f t="shared" si="141"/>
        <v>29.959</v>
      </c>
      <c r="Q194" s="57">
        <f t="shared" si="141"/>
        <v>30.92</v>
      </c>
      <c r="R194" s="57">
        <f t="shared" si="141"/>
        <v>31.968</v>
      </c>
      <c r="S194" s="57">
        <f t="shared" si="141"/>
        <v>33.323</v>
      </c>
      <c r="T194" s="58">
        <f t="shared" ca="1" si="141"/>
        <v>34.72085960313273</v>
      </c>
      <c r="U194" s="58">
        <f t="shared" ca="1" si="141"/>
        <v>36.282133377587833</v>
      </c>
      <c r="V194" s="58">
        <f t="shared" ca="1" si="141"/>
        <v>38.064690965016254</v>
      </c>
      <c r="W194" s="58">
        <f t="shared" ca="1" si="141"/>
        <v>39.977440462245745</v>
      </c>
      <c r="X194" s="58">
        <f t="shared" ca="1" si="141"/>
        <v>41.950850038611073</v>
      </c>
      <c r="Y194" s="58">
        <f t="shared" ca="1" si="141"/>
        <v>44.04612595861731</v>
      </c>
      <c r="Z194" s="58">
        <f t="shared" ca="1" si="141"/>
        <v>46.240943544042857</v>
      </c>
      <c r="AA194" s="58">
        <f t="shared" ca="1" si="141"/>
        <v>48.510436704094658</v>
      </c>
      <c r="AB194" s="58">
        <f t="shared" ca="1" si="141"/>
        <v>50.834985388367123</v>
      </c>
      <c r="AC194" s="58">
        <f t="shared" ca="1" si="141"/>
        <v>53.182261055999447</v>
      </c>
      <c r="AD194" s="26"/>
      <c r="AE194" s="26"/>
    </row>
    <row r="195" spans="1:31" x14ac:dyDescent="0.2">
      <c r="F195" s="30"/>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c r="AD195" s="26"/>
      <c r="AE195" s="26"/>
    </row>
    <row r="196" spans="1:31" x14ac:dyDescent="0.2">
      <c r="A196" s="31" t="s">
        <v>819</v>
      </c>
      <c r="AD196" s="26"/>
      <c r="AE196" s="26"/>
    </row>
    <row r="197" spans="1:31" x14ac:dyDescent="0.2">
      <c r="A197" s="3" t="s">
        <v>437</v>
      </c>
      <c r="B197" s="4" t="str">
        <f>$B$9</f>
        <v>From Economic Forecasts</v>
      </c>
      <c r="F197" s="40">
        <f>'Economic Forecasts'!F$22</f>
        <v>645.82000000000005</v>
      </c>
      <c r="G197" s="40">
        <f>'Economic Forecasts'!G$22</f>
        <v>664.02</v>
      </c>
      <c r="H197" s="40">
        <f>'Economic Forecasts'!H$22</f>
        <v>723.19</v>
      </c>
      <c r="I197" s="40">
        <f>'Economic Forecasts'!I$22</f>
        <v>741.53</v>
      </c>
      <c r="J197" s="40">
        <f>'Economic Forecasts'!J$22</f>
        <v>792.36</v>
      </c>
      <c r="K197" s="40">
        <f>'Economic Forecasts'!K$22</f>
        <v>813.32</v>
      </c>
      <c r="L197" s="40">
        <f>'Economic Forecasts'!L$22</f>
        <v>833.14</v>
      </c>
      <c r="M197" s="40">
        <f>'Economic Forecasts'!M$22</f>
        <v>855.33</v>
      </c>
      <c r="N197" s="40">
        <f>'Economic Forecasts'!N$22</f>
        <v>873.01</v>
      </c>
      <c r="O197" s="41">
        <f>'Economic Forecasts'!O$22</f>
        <v>891.3</v>
      </c>
      <c r="P197" s="41">
        <f>'Economic Forecasts'!P$22</f>
        <v>899.66</v>
      </c>
      <c r="Q197" s="41">
        <f>'Economic Forecasts'!Q$22</f>
        <v>911.7</v>
      </c>
      <c r="R197" s="41">
        <f>'Economic Forecasts'!R$22</f>
        <v>930.93</v>
      </c>
      <c r="S197" s="41">
        <f>'Economic Forecasts'!S$22</f>
        <v>956.19</v>
      </c>
      <c r="T197" s="50">
        <f ca="1">IF(T$4&lt;=OFFSET(Choices!$B$33,0,$C$1),T$33*(1-'Economic Forecasts'!$C$34)-IF(52*T$33&gt;'Economic Forecasts'!$B$32,(52*T$33-'Economic Forecasts'!$B$32)*'Economic Forecasts'!$C$33+'Economic Forecasts'!$D$32,IF(52*T$33&gt;'Economic Forecasts'!$B$31,(52*T$33-'Economic Forecasts'!$B$31)*'Economic Forecasts'!$C$32+'Economic Forecasts'!$D$31,IF(52*T$33&gt;'Economic Forecasts'!$B$30,(52*T$33-'Economic Forecasts'!$B$30)*'Economic Forecasts'!$C$31+'Economic Forecasts'!$D$30,52*T$33*'Economic Forecasts'!$C$30)))/52,S$197*T$33/S$33)</f>
        <v>990.32572457027027</v>
      </c>
      <c r="U197" s="50">
        <f ca="1">IF(U$4&lt;=OFFSET(Choices!$B$33,0,$C$1),U$33*(1-'Economic Forecasts'!$C$34)-IF(52*U$33&gt;'Economic Forecasts'!$B$32,(52*U$33-'Economic Forecasts'!$B$32)*'Economic Forecasts'!$C$33+'Economic Forecasts'!$D$32,IF(52*U$33&gt;'Economic Forecasts'!$B$31,(52*U$33-'Economic Forecasts'!$B$31)*'Economic Forecasts'!$C$32+'Economic Forecasts'!$D$31,IF(52*U$33&gt;'Economic Forecasts'!$B$30,(52*U$33-'Economic Forecasts'!$B$30)*'Economic Forecasts'!$C$31+'Economic Forecasts'!$D$30,52*U$33*'Economic Forecasts'!$C$30)))/52,T$197*U$33/T$33)</f>
        <v>1025.2842226476007</v>
      </c>
      <c r="V197" s="50">
        <f ca="1">IF(V$4&lt;=OFFSET(Choices!$B$33,0,$C$1),V$33*(1-'Economic Forecasts'!$C$34)-IF(52*V$33&gt;'Economic Forecasts'!$B$32,(52*V$33-'Economic Forecasts'!$B$32)*'Economic Forecasts'!$C$33+'Economic Forecasts'!$D$32,IF(52*V$33&gt;'Economic Forecasts'!$B$31,(52*V$33-'Economic Forecasts'!$B$31)*'Economic Forecasts'!$C$32+'Economic Forecasts'!$D$31,IF(52*V$33&gt;'Economic Forecasts'!$B$30,(52*V$33-'Economic Forecasts'!$B$30)*'Economic Forecasts'!$C$31+'Economic Forecasts'!$D$30,52*V$33*'Economic Forecasts'!$C$30)))/52,U$197*V$33/U$33)</f>
        <v>1061.4767557070611</v>
      </c>
      <c r="W197" s="50">
        <f ca="1">IF(W$4&lt;=OFFSET(Choices!$B$33,0,$C$1),W$33*(1-'Economic Forecasts'!$C$34)-IF(52*W$33&gt;'Economic Forecasts'!$B$32,(52*W$33-'Economic Forecasts'!$B$32)*'Economic Forecasts'!$C$33+'Economic Forecasts'!$D$32,IF(52*W$33&gt;'Economic Forecasts'!$B$31,(52*W$33-'Economic Forecasts'!$B$31)*'Economic Forecasts'!$C$32+'Economic Forecasts'!$D$31,IF(52*W$33&gt;'Economic Forecasts'!$B$30,(52*W$33-'Economic Forecasts'!$B$30)*'Economic Forecasts'!$C$31+'Economic Forecasts'!$D$30,52*W$33*'Economic Forecasts'!$C$30)))/52,V$197*W$33/V$33)</f>
        <v>1098.9468851835202</v>
      </c>
      <c r="X197" s="50">
        <f ca="1">IF(X$4&lt;=OFFSET(Choices!$B$33,0,$C$1),X$33*(1-'Economic Forecasts'!$C$34)-IF(52*X$33&gt;'Economic Forecasts'!$B$32,(52*X$33-'Economic Forecasts'!$B$32)*'Economic Forecasts'!$C$33+'Economic Forecasts'!$D$32,IF(52*X$33&gt;'Economic Forecasts'!$B$31,(52*X$33-'Economic Forecasts'!$B$31)*'Economic Forecasts'!$C$32+'Economic Forecasts'!$D$31,IF(52*X$33&gt;'Economic Forecasts'!$B$30,(52*X$33-'Economic Forecasts'!$B$30)*'Economic Forecasts'!$C$31+'Economic Forecasts'!$D$30,52*X$33*'Economic Forecasts'!$C$30)))/52,W$197*X$33/W$33)</f>
        <v>1137.7397102304983</v>
      </c>
      <c r="Y197" s="50">
        <f ca="1">IF(Y$4&lt;=OFFSET(Choices!$B$33,0,$C$1),Y$33*(1-'Economic Forecasts'!$C$34)-IF(52*Y$33&gt;'Economic Forecasts'!$B$32,(52*Y$33-'Economic Forecasts'!$B$32)*'Economic Forecasts'!$C$33+'Economic Forecasts'!$D$32,IF(52*Y$33&gt;'Economic Forecasts'!$B$31,(52*Y$33-'Economic Forecasts'!$B$31)*'Economic Forecasts'!$C$32+'Economic Forecasts'!$D$31,IF(52*Y$33&gt;'Economic Forecasts'!$B$30,(52*Y$33-'Economic Forecasts'!$B$30)*'Economic Forecasts'!$C$31+'Economic Forecasts'!$D$30,52*Y$33*'Economic Forecasts'!$C$30)))/52,X$197*Y$33/X$33)</f>
        <v>1177.9019220016348</v>
      </c>
      <c r="Z197" s="50">
        <f ca="1">IF(Z$4&lt;=OFFSET(Choices!$B$33,0,$C$1),Z$33*(1-'Economic Forecasts'!$C$34)-IF(52*Z$33&gt;'Economic Forecasts'!$B$32,(52*Z$33-'Economic Forecasts'!$B$32)*'Economic Forecasts'!$C$33+'Economic Forecasts'!$D$32,IF(52*Z$33&gt;'Economic Forecasts'!$B$31,(52*Z$33-'Economic Forecasts'!$B$31)*'Economic Forecasts'!$C$32+'Economic Forecasts'!$D$31,IF(52*Z$33&gt;'Economic Forecasts'!$B$30,(52*Z$33-'Economic Forecasts'!$B$30)*'Economic Forecasts'!$C$31+'Economic Forecasts'!$D$30,52*Z$33*'Economic Forecasts'!$C$30)))/52,Y$197*Z$33/Y$33)</f>
        <v>1219.4818598482925</v>
      </c>
      <c r="AA197" s="50">
        <f ca="1">IF(AA$4&lt;=OFFSET(Choices!$B$33,0,$C$1),AA$33*(1-'Economic Forecasts'!$C$34)-IF(52*AA$33&gt;'Economic Forecasts'!$B$32,(52*AA$33-'Economic Forecasts'!$B$32)*'Economic Forecasts'!$C$33+'Economic Forecasts'!$D$32,IF(52*AA$33&gt;'Economic Forecasts'!$B$31,(52*AA$33-'Economic Forecasts'!$B$31)*'Economic Forecasts'!$C$32+'Economic Forecasts'!$D$31,IF(52*AA$33&gt;'Economic Forecasts'!$B$30,(52*AA$33-'Economic Forecasts'!$B$30)*'Economic Forecasts'!$C$31+'Economic Forecasts'!$D$30,52*AA$33*'Economic Forecasts'!$C$30)))/52,Z$197*AA$33/Z$33)</f>
        <v>1262.5295695009372</v>
      </c>
      <c r="AB197" s="50">
        <f ca="1">IF(AB$4&lt;=OFFSET(Choices!$B$33,0,$C$1),AB$33*(1-'Economic Forecasts'!$C$34)-IF(52*AB$33&gt;'Economic Forecasts'!$B$32,(52*AB$33-'Economic Forecasts'!$B$32)*'Economic Forecasts'!$C$33+'Economic Forecasts'!$D$32,IF(52*AB$33&gt;'Economic Forecasts'!$B$31,(52*AB$33-'Economic Forecasts'!$B$31)*'Economic Forecasts'!$C$32+'Economic Forecasts'!$D$31,IF(52*AB$33&gt;'Economic Forecasts'!$B$30,(52*AB$33-'Economic Forecasts'!$B$30)*'Economic Forecasts'!$C$31+'Economic Forecasts'!$D$30,52*AB$33*'Economic Forecasts'!$C$30)))/52,AA$197*AB$33/AA$33)</f>
        <v>1307.0968633043201</v>
      </c>
      <c r="AC197" s="50">
        <f ca="1">IF(AC$4&lt;=OFFSET(Choices!$B$33,0,$C$1),AC$33*(1-'Economic Forecasts'!$C$34)-IF(52*AC$33&gt;'Economic Forecasts'!$B$32,(52*AC$33-'Economic Forecasts'!$B$32)*'Economic Forecasts'!$C$33+'Economic Forecasts'!$D$32,IF(52*AC$33&gt;'Economic Forecasts'!$B$31,(52*AC$33-'Economic Forecasts'!$B$31)*'Economic Forecasts'!$C$32+'Economic Forecasts'!$D$31,IF(52*AC$33&gt;'Economic Forecasts'!$B$30,(52*AC$33-'Economic Forecasts'!$B$30)*'Economic Forecasts'!$C$31+'Economic Forecasts'!$D$30,52*AC$33*'Economic Forecasts'!$C$30)))/52,AB$197*AC$33/AB$33)</f>
        <v>1353.2373825789625</v>
      </c>
      <c r="AD197" s="26"/>
      <c r="AE197" s="26"/>
    </row>
    <row r="198" spans="1:31" x14ac:dyDescent="0.2">
      <c r="A198" s="3" t="s">
        <v>438</v>
      </c>
      <c r="B198" s="4" t="str">
        <f>$B$9</f>
        <v>From Economic Forecasts</v>
      </c>
      <c r="F198" s="40">
        <f>'Economic Forecasts'!F$23</f>
        <v>213.12</v>
      </c>
      <c r="G198" s="40">
        <f>'Economic Forecasts'!G$23</f>
        <v>219.9</v>
      </c>
      <c r="H198" s="40">
        <f>'Economic Forecasts'!H$23</f>
        <v>239.19</v>
      </c>
      <c r="I198" s="40">
        <f>'Economic Forecasts'!I$23</f>
        <v>244.71</v>
      </c>
      <c r="J198" s="40">
        <f>'Economic Forecasts'!J$23</f>
        <v>261.48</v>
      </c>
      <c r="K198" s="40">
        <f>'Economic Forecasts'!K$23</f>
        <v>268.39999999999998</v>
      </c>
      <c r="L198" s="40">
        <f>'Economic Forecasts'!L$23</f>
        <v>274.94</v>
      </c>
      <c r="M198" s="40">
        <f>'Economic Forecasts'!M$23</f>
        <v>282.26</v>
      </c>
      <c r="N198" s="40">
        <f>'Economic Forecasts'!N$23</f>
        <v>288.10000000000002</v>
      </c>
      <c r="O198" s="41">
        <f>'Economic Forecasts'!O$23</f>
        <v>294.13</v>
      </c>
      <c r="P198" s="41">
        <f>'Economic Forecasts'!P$23</f>
        <v>299.42</v>
      </c>
      <c r="Q198" s="41">
        <f>'Economic Forecasts'!Q$23</f>
        <v>305.11</v>
      </c>
      <c r="R198" s="41">
        <f>'Economic Forecasts'!R$23</f>
        <v>311.52</v>
      </c>
      <c r="S198" s="41">
        <f>'Economic Forecasts'!S$23</f>
        <v>318.37</v>
      </c>
      <c r="T198" s="50">
        <f ca="1">IF(2*S$198*T$29/S$29&gt;=OFFSET(Choices!$B$45,0,$C$1)*T$197,OFFSET(Choices!$B$45,0,$C$1)*T$197,IF(2*S$198*T$29/S$29&gt;=OFFSET(Choices!$B$44,0,$C$1)*T$197,2*S$198*T$29/S$29,OFFSET(Choices!$B$44,0,$C$1)*T$197))/2</f>
        <v>324.86278123552125</v>
      </c>
      <c r="U198" s="50">
        <f ca="1">IF(2*T$198*U$29/T$29&gt;=OFFSET(Choices!$B$45,0,$C$1)*U$197,OFFSET(Choices!$B$45,0,$C$1)*U$197,IF(2*T$198*U$29/T$29&gt;=OFFSET(Choices!$B$44,0,$C$1)*U$197,2*T$198*U$29/T$29,OFFSET(Choices!$B$44,0,$C$1)*U$197))/2</f>
        <v>333.21737236047022</v>
      </c>
      <c r="V198" s="50">
        <f ca="1">IF(2*U$198*V$29/U$29&gt;=OFFSET(Choices!$B$45,0,$C$1)*V$197,OFFSET(Choices!$B$45,0,$C$1)*V$197,IF(2*U$198*V$29/U$29&gt;=OFFSET(Choices!$B$44,0,$C$1)*V$197,2*U$198*V$29/U$29,OFFSET(Choices!$B$44,0,$C$1)*V$197))/2</f>
        <v>344.97994560479486</v>
      </c>
      <c r="W198" s="50">
        <f ca="1">IF(2*V$198*W$29/V$29&gt;=OFFSET(Choices!$B$45,0,$C$1)*W$197,OFFSET(Choices!$B$45,0,$C$1)*W$197,IF(2*V$198*W$29/V$29&gt;=OFFSET(Choices!$B$44,0,$C$1)*W$197,2*V$198*W$29/V$29,OFFSET(Choices!$B$44,0,$C$1)*W$197))/2</f>
        <v>357.15773768464408</v>
      </c>
      <c r="X198" s="50">
        <f ca="1">IF(2*W$198*X$29/W$29&gt;=OFFSET(Choices!$B$45,0,$C$1)*X$197,OFFSET(Choices!$B$45,0,$C$1)*X$197,IF(2*W$198*X$29/W$29&gt;=OFFSET(Choices!$B$44,0,$C$1)*X$197,2*W$198*X$29/W$29,OFFSET(Choices!$B$44,0,$C$1)*X$197))/2</f>
        <v>369.76540582491197</v>
      </c>
      <c r="Y198" s="50">
        <f ca="1">IF(2*X$198*Y$29/X$29&gt;=OFFSET(Choices!$B$45,0,$C$1)*Y$197,OFFSET(Choices!$B$45,0,$C$1)*Y$197,IF(2*X$198*Y$29/X$29&gt;=OFFSET(Choices!$B$44,0,$C$1)*Y$197,2*X$198*Y$29/X$29,OFFSET(Choices!$B$44,0,$C$1)*Y$197))/2</f>
        <v>382.81812465053133</v>
      </c>
      <c r="Z198" s="50">
        <f ca="1">IF(2*Y$198*Z$29/Y$29&gt;=OFFSET(Choices!$B$45,0,$C$1)*Z$197,OFFSET(Choices!$B$45,0,$C$1)*Z$197,IF(2*Y$198*Z$29/Y$29&gt;=OFFSET(Choices!$B$44,0,$C$1)*Z$197,2*Y$198*Z$29/Y$29,OFFSET(Choices!$B$44,0,$C$1)*Z$197))/2</f>
        <v>396.33160445069507</v>
      </c>
      <c r="AA198" s="50">
        <f ca="1">IF(2*Z$198*AA$29/Z$29&gt;=OFFSET(Choices!$B$45,0,$C$1)*AA$197,OFFSET(Choices!$B$45,0,$C$1)*AA$197,IF(2*Z$198*AA$29/Z$29&gt;=OFFSET(Choices!$B$44,0,$C$1)*AA$197,2*Z$198*AA$29/Z$29,OFFSET(Choices!$B$44,0,$C$1)*AA$197))/2</f>
        <v>410.32211008780462</v>
      </c>
      <c r="AB198" s="50">
        <f ca="1">IF(2*AA$198*AB$29/AA$29&gt;=OFFSET(Choices!$B$45,0,$C$1)*AB$197,OFFSET(Choices!$B$45,0,$C$1)*AB$197,IF(2*AA$198*AB$29/AA$29&gt;=OFFSET(Choices!$B$44,0,$C$1)*AB$197,2*AA$198*AB$29/AA$29,OFFSET(Choices!$B$44,0,$C$1)*AB$197))/2</f>
        <v>424.80648057390403</v>
      </c>
      <c r="AC198" s="50">
        <f ca="1">IF(2*AB$198*AC$29/AB$29&gt;=OFFSET(Choices!$B$45,0,$C$1)*AC$197,OFFSET(Choices!$B$45,0,$C$1)*AC$197,IF(2*AB$198*AC$29/AB$29&gt;=OFFSET(Choices!$B$44,0,$C$1)*AC$197,2*AB$198*AC$29/AB$29,OFFSET(Choices!$B$44,0,$C$1)*AC$197))/2</f>
        <v>439.80214933816285</v>
      </c>
      <c r="AD198" s="26"/>
      <c r="AE198" s="26"/>
    </row>
    <row r="199" spans="1:31" x14ac:dyDescent="0.2">
      <c r="A199" s="3" t="s">
        <v>444</v>
      </c>
      <c r="B199" s="4" t="str">
        <f>$B$9</f>
        <v>From Economic Forecasts</v>
      </c>
      <c r="F199" s="40">
        <f>'Economic Forecasts'!F$24</f>
        <v>255.7</v>
      </c>
      <c r="G199" s="40">
        <f>'Economic Forecasts'!G$24</f>
        <v>264.37</v>
      </c>
      <c r="H199" s="40">
        <f>'Economic Forecasts'!H$24</f>
        <v>273.63</v>
      </c>
      <c r="I199" s="40">
        <f>'Economic Forecasts'!I$24</f>
        <v>280.62</v>
      </c>
      <c r="J199" s="40">
        <f>'Economic Forecasts'!J$24</f>
        <v>294.08000000000004</v>
      </c>
      <c r="K199" s="40">
        <f>'Economic Forecasts'!K$24</f>
        <v>302.39999999999998</v>
      </c>
      <c r="L199" s="40">
        <f>'Economic Forecasts'!L$24</f>
        <v>310.33999999999997</v>
      </c>
      <c r="M199" s="40">
        <f>'Economic Forecasts'!M$24</f>
        <v>319.23</v>
      </c>
      <c r="N199" s="40">
        <f>'Economic Forecasts'!N$24</f>
        <v>326.3</v>
      </c>
      <c r="O199" s="41">
        <f>'Economic Forecasts'!O$24</f>
        <v>333.55</v>
      </c>
      <c r="P199" s="41">
        <f>'Economic Forecasts'!P$24</f>
        <v>340.07</v>
      </c>
      <c r="Q199" s="41">
        <f>'Economic Forecasts'!Q$24</f>
        <v>346.81</v>
      </c>
      <c r="R199" s="41">
        <f>'Economic Forecasts'!R$24</f>
        <v>354.62</v>
      </c>
      <c r="S199" s="41">
        <f>'Economic Forecasts'!S$24</f>
        <v>363.04</v>
      </c>
      <c r="T199" s="50">
        <f ca="1">IF(T$4&lt;=OFFSET(Choices!$B$33,0,$C$1),IF(52*T$198&gt;'Economic Forecasts'!$B$39,(52*T$198-'Economic Forecasts'!$D$39)/'Economic Forecasts'!$C$40,IF(52*T$198&gt;'Economic Forecasts'!$B$38,(52*T$198-'Economic Forecasts'!$D$38)/'Economic Forecasts'!$C$39,IF(52*T$198&gt;'Economic Forecasts'!$B$37,(52*T$198-'Economic Forecasts'!$D$37)/'Economic Forecasts'!$C$38,52*T$198/'Economic Forecasts'!$C$37)))/52,S$199*T$198/S$198)</f>
        <v>370.44377328185328</v>
      </c>
      <c r="U199" s="50">
        <f ca="1">IF(U$4&lt;=OFFSET(Choices!$B$33,0,$C$1),IF(52*U$198&gt;'Economic Forecasts'!$B$39,(52*U$198-'Economic Forecasts'!$D$39)/'Economic Forecasts'!$C$40,IF(52*U$198&gt;'Economic Forecasts'!$B$38,(52*U$198-'Economic Forecasts'!$D$38)/'Economic Forecasts'!$C$39,IF(52*U$198&gt;'Economic Forecasts'!$B$37,(52*U$198-'Economic Forecasts'!$D$37)/'Economic Forecasts'!$C$38,52*U$198/'Economic Forecasts'!$C$37)))/52,T$199*U$198/T$198)</f>
        <v>379.97058410574209</v>
      </c>
      <c r="V199" s="50">
        <f ca="1">IF(V$4&lt;=OFFSET(Choices!$B$33,0,$C$1),IF(52*V$198&gt;'Economic Forecasts'!$B$39,(52*V$198-'Economic Forecasts'!$D$39)/'Economic Forecasts'!$C$40,IF(52*V$198&gt;'Economic Forecasts'!$B$38,(52*V$198-'Economic Forecasts'!$D$38)/'Economic Forecasts'!$C$39,IF(52*V$198&gt;'Economic Forecasts'!$B$37,(52*V$198-'Economic Forecasts'!$D$37)/'Economic Forecasts'!$C$38,52*V$198/'Economic Forecasts'!$C$37)))/52,U$199*V$198/U$198)</f>
        <v>393.38354572467483</v>
      </c>
      <c r="W199" s="50">
        <f ca="1">IF(W$4&lt;=OFFSET(Choices!$B$33,0,$C$1),IF(52*W$198&gt;'Economic Forecasts'!$B$39,(52*W$198-'Economic Forecasts'!$D$39)/'Economic Forecasts'!$C$40,IF(52*W$198&gt;'Economic Forecasts'!$B$38,(52*W$198-'Economic Forecasts'!$D$38)/'Economic Forecasts'!$C$39,IF(52*W$198&gt;'Economic Forecasts'!$B$37,(52*W$198-'Economic Forecasts'!$D$37)/'Economic Forecasts'!$C$38,52*W$198/'Economic Forecasts'!$C$37)))/52,V$199*W$198/V$198)</f>
        <v>407.2699848887558</v>
      </c>
      <c r="X199" s="50">
        <f ca="1">IF(X$4&lt;=OFFSET(Choices!$B$33,0,$C$1),IF(52*X$198&gt;'Economic Forecasts'!$B$39,(52*X$198-'Economic Forecasts'!$D$39)/'Economic Forecasts'!$C$40,IF(52*X$198&gt;'Economic Forecasts'!$B$38,(52*X$198-'Economic Forecasts'!$D$38)/'Economic Forecasts'!$C$39,IF(52*X$198&gt;'Economic Forecasts'!$B$37,(52*X$198-'Economic Forecasts'!$D$37)/'Economic Forecasts'!$C$38,52*X$198/'Economic Forecasts'!$C$37)))/52,W$199*X$198/W$198)</f>
        <v>421.64661535532883</v>
      </c>
      <c r="Y199" s="50">
        <f ca="1">IF(Y$4&lt;=OFFSET(Choices!$B$33,0,$C$1),IF(52*Y$198&gt;'Economic Forecasts'!$B$39,(52*Y$198-'Economic Forecasts'!$D$39)/'Economic Forecasts'!$C$40,IF(52*Y$198&gt;'Economic Forecasts'!$B$38,(52*Y$198-'Economic Forecasts'!$D$38)/'Economic Forecasts'!$C$39,IF(52*Y$198&gt;'Economic Forecasts'!$B$37,(52*Y$198-'Economic Forecasts'!$D$37)/'Economic Forecasts'!$C$38,52*Y$198/'Economic Forecasts'!$C$37)))/52,X$199*Y$198/X$198)</f>
        <v>436.53074087737195</v>
      </c>
      <c r="Z199" s="50">
        <f ca="1">IF(Z$4&lt;=OFFSET(Choices!$B$33,0,$C$1),IF(52*Z$198&gt;'Economic Forecasts'!$B$39,(52*Z$198-'Economic Forecasts'!$D$39)/'Economic Forecasts'!$C$40,IF(52*Z$198&gt;'Economic Forecasts'!$B$38,(52*Z$198-'Economic Forecasts'!$D$38)/'Economic Forecasts'!$C$39,IF(52*Z$198&gt;'Economic Forecasts'!$B$37,(52*Z$198-'Economic Forecasts'!$D$37)/'Economic Forecasts'!$C$38,52*Z$198/'Economic Forecasts'!$C$37)))/52,Y$199*Z$198/Y$198)</f>
        <v>451.94027603034317</v>
      </c>
      <c r="AA199" s="50">
        <f ca="1">IF(AA$4&lt;=OFFSET(Choices!$B$33,0,$C$1),IF(52*AA$198&gt;'Economic Forecasts'!$B$39,(52*AA$198-'Economic Forecasts'!$D$39)/'Economic Forecasts'!$C$40,IF(52*AA$198&gt;'Economic Forecasts'!$B$38,(52*AA$198-'Economic Forecasts'!$D$38)/'Economic Forecasts'!$C$39,IF(52*AA$198&gt;'Economic Forecasts'!$B$37,(52*AA$198-'Economic Forecasts'!$D$37)/'Economic Forecasts'!$C$38,52*AA$198/'Economic Forecasts'!$C$37)))/52,Z$199*AA$198/Z$198)</f>
        <v>467.89376777421427</v>
      </c>
      <c r="AB199" s="50">
        <f ca="1">IF(AB$4&lt;=OFFSET(Choices!$B$33,0,$C$1),IF(52*AB$198&gt;'Economic Forecasts'!$B$39,(52*AB$198-'Economic Forecasts'!$D$39)/'Economic Forecasts'!$C$40,IF(52*AB$198&gt;'Economic Forecasts'!$B$38,(52*AB$198-'Economic Forecasts'!$D$38)/'Economic Forecasts'!$C$39,IF(52*AB$198&gt;'Economic Forecasts'!$B$37,(52*AB$198-'Economic Forecasts'!$D$37)/'Economic Forecasts'!$C$38,52*AB$198/'Economic Forecasts'!$C$37)))/52,AA$199*AB$198/AA$198)</f>
        <v>484.41041777664395</v>
      </c>
      <c r="AC199" s="50">
        <f ca="1">IF(AC$4&lt;=OFFSET(Choices!$B$33,0,$C$1),IF(52*AC$198&gt;'Economic Forecasts'!$B$39,(52*AC$198-'Economic Forecasts'!$D$39)/'Economic Forecasts'!$C$40,IF(52*AC$198&gt;'Economic Forecasts'!$B$38,(52*AC$198-'Economic Forecasts'!$D$38)/'Economic Forecasts'!$C$39,IF(52*AC$198&gt;'Economic Forecasts'!$B$37,(52*AC$198-'Economic Forecasts'!$D$37)/'Economic Forecasts'!$C$38,52*AC$198/'Economic Forecasts'!$C$37)))/52,AB$199*AC$198/AB$198)</f>
        <v>501.51010552415948</v>
      </c>
      <c r="AD199" s="26"/>
      <c r="AE199" s="26"/>
    </row>
    <row r="200" spans="1:31" x14ac:dyDescent="0.2">
      <c r="AD200" s="26"/>
      <c r="AE200" s="26"/>
    </row>
    <row r="201" spans="1:31" x14ac:dyDescent="0.2">
      <c r="A201" s="31" t="s">
        <v>230</v>
      </c>
      <c r="AD201" s="26"/>
      <c r="AE201" s="26"/>
    </row>
    <row r="202" spans="1:31" x14ac:dyDescent="0.2">
      <c r="A202" s="3" t="s">
        <v>412</v>
      </c>
      <c r="B202" s="4" t="str">
        <f>$B$46</f>
        <v>From Fiscal Forecasts</v>
      </c>
      <c r="F202" s="21">
        <f>'Fiscal Forecasts'!F$239</f>
        <v>5.0919999999999996</v>
      </c>
      <c r="G202" s="21">
        <f>'Fiscal Forecasts'!G$239</f>
        <v>5.5839999999999996</v>
      </c>
      <c r="H202" s="21">
        <f>'Fiscal Forecasts'!H$239</f>
        <v>6.0369999999999999</v>
      </c>
      <c r="I202" s="21">
        <f>'Fiscal Forecasts'!I$239</f>
        <v>5.9909999999999997</v>
      </c>
      <c r="J202" s="21">
        <f>'Fiscal Forecasts'!J$239</f>
        <v>5.9960000000000004</v>
      </c>
      <c r="K202" s="21">
        <f>'Fiscal Forecasts'!K$239</f>
        <v>5.915</v>
      </c>
      <c r="L202" s="21">
        <f>'Fiscal Forecasts'!L$239</f>
        <v>6.0369999999999999</v>
      </c>
      <c r="M202" s="21">
        <f>'Fiscal Forecasts'!M$239</f>
        <v>6.2320000000000002</v>
      </c>
      <c r="N202" s="21">
        <f>'Fiscal Forecasts'!N$239</f>
        <v>6.5519999999999996</v>
      </c>
      <c r="O202" s="24">
        <f>'Fiscal Forecasts'!O$239</f>
        <v>6.7389999999999999</v>
      </c>
      <c r="P202" s="24">
        <f>'Fiscal Forecasts'!P$239</f>
        <v>6.58</v>
      </c>
      <c r="Q202" s="24">
        <f>'Fiscal Forecasts'!Q$239</f>
        <v>6.6059999999999999</v>
      </c>
      <c r="R202" s="24">
        <f>'Fiscal Forecasts'!R$239</f>
        <v>6.6150000000000002</v>
      </c>
      <c r="S202" s="24">
        <f>'Fiscal Forecasts'!S$239</f>
        <v>6.6159999999999997</v>
      </c>
      <c r="T202" s="26">
        <f ca="1">IF(T$4=OFFSET(Choices!$B$10,0,$C$1),AVERAGE((Q$202-Q$245)/(SUM(Q$202,Q$209,Q$216)-SUM(Q$245,Q$249,-Q$390,-Q$393,Q$257,Q$267,Q$279,Q$305,Q$310)),(R$202-R$245)/(SUM(R$202,R$209,R$216)-SUM(R$245,R$249,-R$390,-R$393,R$257,R$267,R$279,R$305,R$310)),(S$202-S$245)/(SUM(S$202,S$209,S$216)-SUM(S$245,S$249,-S$390,-S$393,S$257,S$267,S$279,S$305,S$310))),(S$202-S$245)/(SUM(S$202,S$209,S$216)-SUM(S$245,S$249,-S$390,-S$393,S$257,S$267,S$279,S$305,S$310)))*SUM(T$190,T$364,T$268,T$272,T$275,T$287-T$232,T$295,T$298,T$301,T$306) +T$245</f>
        <v>6.5889855963096027</v>
      </c>
      <c r="U202" s="26">
        <f ca="1">IF(U$4=OFFSET(Choices!$B$10,0,$C$1),AVERAGE((R$202-R$245)/(SUM(R$202,R$209,R$216)-SUM(R$245,R$249,-R$390,-R$393,R$257,R$267,R$279,R$305,R$310)),(S$202-S$245)/(SUM(S$202,S$209,S$216)-SUM(S$245,S$249,-S$390,-S$393,S$257,S$267,S$279,S$305,S$310)),(T$202-T$245)/(SUM(T$202,T$209,T$216)-SUM(T$245,T$249,-T$390,-T$393,T$257,T$267,T$279,T$305,T$310))),(T$202-T$245)/(SUM(T$202,T$209,T$216)-SUM(T$245,T$249,-T$390,-T$393,T$257,T$267,T$279,T$305,T$310)))*SUM(U$190,U$364,U$268,U$272,U$275,U$287-U$232,U$295,U$298,U$301,U$306) +U$245</f>
        <v>6.5897890306639058</v>
      </c>
      <c r="V202" s="26">
        <f ca="1">IF(V$4=OFFSET(Choices!$B$10,0,$C$1),AVERAGE((S$202-S$245)/(SUM(S$202,S$209,S$216)-SUM(S$245,S$249,-S$390,-S$393,S$257,S$267,S$279,S$305,S$310)),(T$202-T$245)/(SUM(T$202,T$209,T$216)-SUM(T$245,T$249,-T$390,-T$393,T$257,T$267,T$279,T$305,T$310)),(U$202-U$245)/(SUM(U$202,U$209,U$216)-SUM(U$245,U$249,-U$390,-U$393,U$257,U$267,U$279,U$305,U$310))),(U$202-U$245)/(SUM(U$202,U$209,U$216)-SUM(U$245,U$249,-U$390,-U$393,U$257,U$267,U$279,U$305,U$310)))*SUM(V$190,V$364,V$268,V$272,V$275,V$287-V$232,V$295,V$298,V$301,V$306) +V$245</f>
        <v>6.5980428668876012</v>
      </c>
      <c r="W202" s="26">
        <f ca="1">IF(W$4=OFFSET(Choices!$B$10,0,$C$1),AVERAGE((T$202-T$245)/(SUM(T$202,T$209,T$216)-SUM(T$245,T$249,-T$390,-T$393,T$257,T$267,T$279,T$305,T$310)),(U$202-U$245)/(SUM(U$202,U$209,U$216)-SUM(U$245,U$249,-U$390,-U$393,U$257,U$267,U$279,U$305,U$310)),(V$202-V$245)/(SUM(V$202,V$209,V$216)-SUM(V$245,V$249,-V$390,-V$393,V$257,V$267,V$279,V$305,V$310))),(V$202-V$245)/(SUM(V$202,V$209,V$216)-SUM(V$245,V$249,-V$390,-V$393,V$257,V$267,V$279,V$305,V$310)))*SUM(W$190,W$364,W$268,W$272,W$275,W$287-W$232,W$295,W$298,W$301,W$306) +W$245</f>
        <v>6.613984528973158</v>
      </c>
      <c r="X202" s="26">
        <f ca="1">IF(X$4=OFFSET(Choices!$B$10,0,$C$1),AVERAGE((U$202-U$245)/(SUM(U$202,U$209,U$216)-SUM(U$245,U$249,-U$390,-U$393,U$257,U$267,U$279,U$305,U$310)),(V$202-V$245)/(SUM(V$202,V$209,V$216)-SUM(V$245,V$249,-V$390,-V$393,V$257,V$267,V$279,V$305,V$310)),(W$202-W$245)/(SUM(W$202,W$209,W$216)-SUM(W$245,W$249,-W$390,-W$393,W$257,W$267,W$279,W$305,W$310))),(W$202-W$245)/(SUM(W$202,W$209,W$216)-SUM(W$245,W$249,-W$390,-W$393,W$257,W$267,W$279,W$305,W$310)))*SUM(X$190,X$364,X$268,X$272,X$275,X$287-X$232,X$295,X$298,X$301,X$306) +X$245</f>
        <v>6.6297527880518228</v>
      </c>
      <c r="Y202" s="26">
        <f ca="1">IF(Y$4=OFFSET(Choices!$B$10,0,$C$1),AVERAGE((V$202-V$245)/(SUM(V$202,V$209,V$216)-SUM(V$245,V$249,-V$390,-V$393,V$257,V$267,V$279,V$305,V$310)),(W$202-W$245)/(SUM(W$202,W$209,W$216)-SUM(W$245,W$249,-W$390,-W$393,W$257,W$267,W$279,W$305,W$310)),(X$202-X$245)/(SUM(X$202,X$209,X$216)-SUM(X$245,X$249,-X$390,-X$393,X$257,X$267,X$279,X$305,X$310))),(X$202-X$245)/(SUM(X$202,X$209,X$216)-SUM(X$245,X$249,-X$390,-X$393,X$257,X$267,X$279,X$305,X$310)))*SUM(Y$190,Y$364,Y$268,Y$272,Y$275,Y$287-Y$232,Y$295,Y$298,Y$301,Y$306) +Y$245</f>
        <v>6.6457994301915502</v>
      </c>
      <c r="Z202" s="26">
        <f ca="1">IF(Z$4=OFFSET(Choices!$B$10,0,$C$1),AVERAGE((W$202-W$245)/(SUM(W$202,W$209,W$216)-SUM(W$245,W$249,-W$390,-W$393,W$257,W$267,W$279,W$305,W$310)),(X$202-X$245)/(SUM(X$202,X$209,X$216)-SUM(X$245,X$249,-X$390,-X$393,X$257,X$267,X$279,X$305,X$310)),(Y$202-Y$245)/(SUM(Y$202,Y$209,Y$216)-SUM(Y$245,Y$249,-Y$390,-Y$393,Y$257,Y$267,Y$279,Y$305,Y$310))),(Y$202-Y$245)/(SUM(Y$202,Y$209,Y$216)-SUM(Y$245,Y$249,-Y$390,-Y$393,Y$257,Y$267,Y$279,Y$305,Y$310)))*SUM(Z$190,Z$364,Z$268,Z$272,Z$275,Z$287-Z$232,Z$295,Z$298,Z$301,Z$306) +Z$245</f>
        <v>6.661487705259864</v>
      </c>
      <c r="AA202" s="26">
        <f ca="1">IF(AA$4=OFFSET(Choices!$B$10,0,$C$1),AVERAGE((X$202-X$245)/(SUM(X$202,X$209,X$216)-SUM(X$245,X$249,-X$390,-X$393,X$257,X$267,X$279,X$305,X$310)),(Y$202-Y$245)/(SUM(Y$202,Y$209,Y$216)-SUM(Y$245,Y$249,-Y$390,-Y$393,Y$257,Y$267,Y$279,Y$305,Y$310)),(Z$202-Z$245)/(SUM(Z$202,Z$209,Z$216)-SUM(Z$245,Z$249,-Z$390,-Z$393,Z$257,Z$267,Z$279,Z$305,Z$310))),(Z$202-Z$245)/(SUM(Z$202,Z$209,Z$216)-SUM(Z$245,Z$249,-Z$390,-Z$393,Z$257,Z$267,Z$279,Z$305,Z$310)))*SUM(AA$190,AA$364,AA$268,AA$272,AA$275,AA$287-AA$232,AA$295,AA$298,AA$301,AA$306) +AA$245</f>
        <v>6.6741377171429326</v>
      </c>
      <c r="AB202" s="26">
        <f ca="1">IF(AB$4=OFFSET(Choices!$B$10,0,$C$1),AVERAGE((Y$202-Y$245)/(SUM(Y$202,Y$209,Y$216)-SUM(Y$245,Y$249,-Y$390,-Y$393,Y$257,Y$267,Y$279,Y$305,Y$310)),(Z$202-Z$245)/(SUM(Z$202,Z$209,Z$216)-SUM(Z$245,Z$249,-Z$390,-Z$393,Z$257,Z$267,Z$279,Z$305,Z$310)),(AA$202-AA$245)/(SUM(AA$202,AA$209,AA$216)-SUM(AA$245,AA$249,-AA$390,-AA$393,AA$257,AA$267,AA$279,AA$305,AA$310))),(AA$202-AA$245)/(SUM(AA$202,AA$209,AA$216)-SUM(AA$245,AA$249,-AA$390,-AA$393,AA$257,AA$267,AA$279,AA$305,AA$310)))*SUM(AB$190,AB$364,AB$268,AB$272,AB$275,AB$287-AB$232,AB$295,AB$298,AB$301,AB$306) +AB$245</f>
        <v>6.6811237757248518</v>
      </c>
      <c r="AC202" s="26">
        <f ca="1">IF(AC$4=OFFSET(Choices!$B$10,0,$C$1),AVERAGE((Z$202-Z$245)/(SUM(Z$202,Z$209,Z$216)-SUM(Z$245,Z$249,-Z$390,-Z$393,Z$257,Z$267,Z$279,Z$305,Z$310)),(AA$202-AA$245)/(SUM(AA$202,AA$209,AA$216)-SUM(AA$245,AA$249,-AA$390,-AA$393,AA$257,AA$267,AA$279,AA$305,AA$310)),(AB$202-AB$245)/(SUM(AB$202,AB$209,AB$216)-SUM(AB$245,AB$249,-AB$390,-AB$393,AB$257,AB$267,AB$279,AB$305,AB$310))),(AB$202-AB$245)/(SUM(AB$202,AB$209,AB$216)-SUM(AB$245,AB$249,-AB$390,-AB$393,AB$257,AB$267,AB$279,AB$305,AB$310)))*SUM(AC$190,AC$364,AC$268,AC$272,AC$275,AC$287-AC$232,AC$295,AC$298,AC$301,AC$306) +AC$245</f>
        <v>6.6887667720312898</v>
      </c>
      <c r="AD202" s="26"/>
      <c r="AE202" s="26"/>
    </row>
    <row r="203" spans="1:31" x14ac:dyDescent="0.2">
      <c r="A203" s="3" t="s">
        <v>413</v>
      </c>
      <c r="B203" s="4" t="str">
        <f>$B$46</f>
        <v>From Fiscal Forecasts</v>
      </c>
      <c r="F203" s="21">
        <f>'Fiscal Forecasts'!F$240</f>
        <v>8.1829999999999998</v>
      </c>
      <c r="G203" s="21">
        <f>'Fiscal Forecasts'!G$240</f>
        <v>8.7409999999999997</v>
      </c>
      <c r="H203" s="21">
        <f>'Fiscal Forecasts'!H$240</f>
        <v>9.5920000000000005</v>
      </c>
      <c r="I203" s="21">
        <f>'Fiscal Forecasts'!I$240</f>
        <v>10.042999999999999</v>
      </c>
      <c r="J203" s="21">
        <f>'Fiscal Forecasts'!J$240</f>
        <v>10.41</v>
      </c>
      <c r="K203" s="21">
        <f>'Fiscal Forecasts'!K$240</f>
        <v>10.754</v>
      </c>
      <c r="L203" s="21">
        <f>'Fiscal Forecasts'!L$240</f>
        <v>10.965999999999999</v>
      </c>
      <c r="M203" s="21">
        <f>'Fiscal Forecasts'!M$240</f>
        <v>11.315</v>
      </c>
      <c r="N203" s="21">
        <f>'Fiscal Forecasts'!N$240</f>
        <v>11.66</v>
      </c>
      <c r="O203" s="24">
        <f>'Fiscal Forecasts'!O$240</f>
        <v>12.209</v>
      </c>
      <c r="P203" s="24">
        <f>'Fiscal Forecasts'!P$240</f>
        <v>12.311</v>
      </c>
      <c r="Q203" s="24">
        <f>'Fiscal Forecasts'!Q$240</f>
        <v>12.406000000000001</v>
      </c>
      <c r="R203" s="24">
        <f>'Fiscal Forecasts'!R$240</f>
        <v>12.475</v>
      </c>
      <c r="S203" s="24">
        <f>'Fiscal Forecasts'!S$240</f>
        <v>12.653</v>
      </c>
      <c r="T203" s="26">
        <f ca="1">IF(T$4=OFFSET(Choices!$B$10,0,$C$1),AVERAGE((Q$203-(Q$246-Q$245))/SUM(Q$203-(Q$246-Q$245),Q$210,Q$217),(R$203-(R$246-R$245))/SUM(R$203-(R$246-R$245),R$210,R$217),(S$203-(S$246-S$245))/SUM(S$203-(S$246-S$245),S$210,S$217)),(S$203-(S$246-S$245))/SUM(S$203-(S$246-S$245),S$210,S$217))*SUM(T$192-T$233,T$250,T$259,T$280,T$291-(T$246-T$245)) +T$246-T$245</f>
        <v>12.793031635710426</v>
      </c>
      <c r="U203" s="26">
        <f ca="1">IF(U$4=OFFSET(Choices!$B$10,0,$C$1),AVERAGE((R$203-(R$246-R$245))/SUM(R$203-(R$246-R$245),R$210,R$217),(S$203-(S$246-S$245))/SUM(S$203-(S$246-S$245),S$210,S$217),(T$203-(T$246-T$245))/SUM(T$203-(T$246-T$245),T$210,T$217)),(T$203-(T$246-T$245))/SUM(T$203-(T$246-T$245),T$210,T$217))*SUM(U$192-U$233,U$250,U$259,U$280,U$291-(U$246-U$245)) +U$246-U$245</f>
        <v>12.968943689318513</v>
      </c>
      <c r="V203" s="26">
        <f ca="1">IF(V$4=OFFSET(Choices!$B$10,0,$C$1),AVERAGE((S$203-(S$246-S$245))/SUM(S$203-(S$246-S$245),S$210,S$217),(T$203-(T$246-T$245))/SUM(T$203-(T$246-T$245),T$210,T$217),(U$203-(U$246-U$245))/SUM(U$203-(U$246-U$245),U$210,U$217)),(U$203-(U$246-U$245))/SUM(U$203-(U$246-U$245),U$210,U$217))*SUM(V$192-V$233,V$250,V$259,V$280,V$291-(V$246-V$245)) +V$246-V$245</f>
        <v>13.154983854000402</v>
      </c>
      <c r="W203" s="26">
        <f ca="1">IF(W$4=OFFSET(Choices!$B$10,0,$C$1),AVERAGE((T$203-(T$246-T$245))/SUM(T$203-(T$246-T$245),T$210,T$217),(U$203-(U$246-U$245))/SUM(U$203-(U$246-U$245),U$210,U$217),(V$203-(V$246-V$245))/SUM(V$203-(V$246-V$245),V$210,V$217)),(V$203-(V$246-V$245))/SUM(V$203-(V$246-V$245),V$210,V$217))*SUM(W$192-W$233,W$250,W$259,W$280,W$291-(W$246-W$245)) +W$246-W$245</f>
        <v>13.350133958339276</v>
      </c>
      <c r="X203" s="26">
        <f ca="1">IF(X$4=OFFSET(Choices!$B$10,0,$C$1),AVERAGE((U$203-(U$246-U$245))/SUM(U$203-(U$246-U$245),U$210,U$217),(V$203-(V$246-V$245))/SUM(V$203-(V$246-V$245),V$210,V$217),(W$203-(W$246-W$245))/SUM(W$203-(W$246-W$245),W$210,W$217)),(W$203-(W$246-W$245))/SUM(W$203-(W$246-W$245),W$210,W$217))*SUM(X$192-X$233,X$250,X$259,X$280,X$291-(X$246-X$245)) +X$246-X$245</f>
        <v>13.553159799494754</v>
      </c>
      <c r="Y203" s="26">
        <f ca="1">IF(Y$4=OFFSET(Choices!$B$10,0,$C$1),AVERAGE((V$203-(V$246-V$245))/SUM(V$203-(V$246-V$245),V$210,V$217),(W$203-(W$246-W$245))/SUM(W$203-(W$246-W$245),W$210,W$217),(X$203-(X$246-X$245))/SUM(X$203-(X$246-X$245),X$210,X$217)),(X$203-(X$246-X$245))/SUM(X$203-(X$246-X$245),X$210,X$217))*SUM(Y$192-Y$233,Y$250,Y$259,Y$280,Y$291-(Y$246-Y$245)) +Y$246-Y$245</f>
        <v>13.76233322923132</v>
      </c>
      <c r="Z203" s="26">
        <f ca="1">IF(Z$4=OFFSET(Choices!$B$10,0,$C$1),AVERAGE((W$203-(W$246-W$245))/SUM(W$203-(W$246-W$245),W$210,W$217),(X$203-(X$246-X$245))/SUM(X$203-(X$246-X$245),X$210,X$217),(Y$203-(Y$246-Y$245))/SUM(Y$203-(Y$246-Y$245),Y$210,Y$217)),(Y$203-(Y$246-Y$245))/SUM(Y$203-(Y$246-Y$245),Y$210,Y$217))*SUM(Z$192-Z$233,Z$250,Z$259,Z$280,Z$291-(Z$246-Z$245)) +Z$246-Z$245</f>
        <v>13.977004913411209</v>
      </c>
      <c r="AA203" s="26">
        <f ca="1">IF(AA$4=OFFSET(Choices!$B$10,0,$C$1),AVERAGE((X$203-(X$246-X$245))/SUM(X$203-(X$246-X$245),X$210,X$217),(Y$203-(Y$246-Y$245))/SUM(Y$203-(Y$246-Y$245),Y$210,Y$217),(Z$203-(Z$246-Z$245))/SUM(Z$203-(Z$246-Z$245),Z$210,Z$217)),(Z$203-(Z$246-Z$245))/SUM(Z$203-(Z$246-Z$245),Z$210,Z$217))*SUM(AA$192-AA$233,AA$250,AA$259,AA$280,AA$291-(AA$246-AA$245)) +AA$246-AA$245</f>
        <v>14.197343737591932</v>
      </c>
      <c r="AB203" s="26">
        <f ca="1">IF(AB$4=OFFSET(Choices!$B$10,0,$C$1),AVERAGE((Y$203-(Y$246-Y$245))/SUM(Y$203-(Y$246-Y$245),Y$210,Y$217),(Z$203-(Z$246-Z$245))/SUM(Z$203-(Z$246-Z$245),Z$210,Z$217),(AA$203-(AA$246-AA$245))/SUM(AA$203-(AA$246-AA$245),AA$210,AA$217)),(AA$203-(AA$246-AA$245))/SUM(AA$203-(AA$246-AA$245),AA$210,AA$217))*SUM(AB$192-AB$233,AB$250,AB$259,AB$280,AB$291-(AB$246-AB$245)) +AB$246-AB$245</f>
        <v>14.420975798636505</v>
      </c>
      <c r="AC203" s="26">
        <f ca="1">IF(AC$4=OFFSET(Choices!$B$10,0,$C$1),AVERAGE((Z$203-(Z$246-Z$245))/SUM(Z$203-(Z$246-Z$245),Z$210,Z$217),(AA$203-(AA$246-AA$245))/SUM(AA$203-(AA$246-AA$245),AA$210,AA$217),(AB$203-(AB$246-AB$245))/SUM(AB$203-(AB$246-AB$245),AB$210,AB$217)),(AB$203-(AB$246-AB$245))/SUM(AB$203-(AB$246-AB$245),AB$210,AB$217))*SUM(AC$192-AC$233,AC$250,AC$259,AC$280,AC$291-(AC$246-AC$245)) +AC$246-AC$245</f>
        <v>14.650741767107458</v>
      </c>
      <c r="AD203" s="26"/>
      <c r="AE203" s="26"/>
    </row>
    <row r="204" spans="1:31" x14ac:dyDescent="0.2">
      <c r="A204" s="3" t="s">
        <v>414</v>
      </c>
      <c r="B204" s="4" t="str">
        <f>$B$46</f>
        <v>From Fiscal Forecasts</v>
      </c>
      <c r="F204" s="21">
        <f>'Fiscal Forecasts'!F$241</f>
        <v>2.0179999999999998</v>
      </c>
      <c r="G204" s="21">
        <f>'Fiscal Forecasts'!G$241</f>
        <v>2.1640000000000001</v>
      </c>
      <c r="H204" s="21">
        <f>'Fiscal Forecasts'!H$241</f>
        <v>2.4470000000000001</v>
      </c>
      <c r="I204" s="21">
        <f>'Fiscal Forecasts'!I$241</f>
        <v>2.4550000000000001</v>
      </c>
      <c r="J204" s="21">
        <f>'Fiscal Forecasts'!J$241</f>
        <v>2.6949999999999998</v>
      </c>
      <c r="K204" s="21">
        <f>'Fiscal Forecasts'!K$241</f>
        <v>2.819</v>
      </c>
      <c r="L204" s="21">
        <f>'Fiscal Forecasts'!L$241</f>
        <v>2.9489999999999998</v>
      </c>
      <c r="M204" s="21">
        <f>'Fiscal Forecasts'!M$241</f>
        <v>2.956</v>
      </c>
      <c r="N204" s="21">
        <f>'Fiscal Forecasts'!N$241</f>
        <v>2.9350000000000001</v>
      </c>
      <c r="O204" s="24">
        <f>'Fiscal Forecasts'!O$241</f>
        <v>2.9209999999999998</v>
      </c>
      <c r="P204" s="24">
        <f>'Fiscal Forecasts'!P$241</f>
        <v>2.9129999999999998</v>
      </c>
      <c r="Q204" s="24">
        <f>'Fiscal Forecasts'!Q$241</f>
        <v>2.9380000000000002</v>
      </c>
      <c r="R204" s="24">
        <f>'Fiscal Forecasts'!R$241</f>
        <v>2.996</v>
      </c>
      <c r="S204" s="24">
        <f>'Fiscal Forecasts'!S$241</f>
        <v>3.056</v>
      </c>
      <c r="T204" s="26">
        <f ca="1">IF(T$4=OFFSET(Choices!$B$10,0,$C$1),AVERAGE(Q$204/SUM(Q$204,Q$211,Q$218),R$204/SUM(R$204,R$211,R$218),S$204/SUM(S$204,S$211,S$218)),S$204/SUM(S$204,S$211,S$218))*SUM(T$260,T$281,T$292-T$234)</f>
        <v>3.2403026281733514</v>
      </c>
      <c r="U204" s="26">
        <f ca="1">IF(U$4=OFFSET(Choices!$B$10,0,$C$1),AVERAGE(R$204/SUM(R$204,R$211,R$218),S$204/SUM(S$204,S$211,S$218),T$204/SUM(T$204,T$211,T$218)),T$204/SUM(T$204,T$211,T$218))*SUM(U$260,U$281,U$292-U$234)</f>
        <v>3.3839431762900296</v>
      </c>
      <c r="V204" s="26">
        <f ca="1">IF(V$4=OFFSET(Choices!$B$10,0,$C$1),AVERAGE(S$204/SUM(S$204,S$211,S$218),T$204/SUM(T$204,T$211,T$218),U$204/SUM(U$204,U$211,U$218)),U$204/SUM(U$204,U$211,U$218))*SUM(V$260,V$281,V$292-V$234)</f>
        <v>3.5358486133863072</v>
      </c>
      <c r="W204" s="26">
        <f ca="1">IF(W$4=OFFSET(Choices!$B$10,0,$C$1),AVERAGE(T$204/SUM(T$204,T$211,T$218),U$204/SUM(U$204,U$211,U$218),V$204/SUM(V$204,V$211,V$218)),V$204/SUM(V$204,V$211,V$218))*SUM(W$260,W$281,W$292-W$234)</f>
        <v>3.6933958334180197</v>
      </c>
      <c r="X204" s="26">
        <f ca="1">IF(X$4=OFFSET(Choices!$B$10,0,$C$1),AVERAGE(U$204/SUM(U$204,U$211,U$218),V$204/SUM(V$204,V$211,V$218),W$204/SUM(W$204,W$211,W$218)),W$204/SUM(W$204,W$211,W$218))*SUM(X$260,X$281,X$292-X$234)</f>
        <v>3.8574517686440348</v>
      </c>
      <c r="Y204" s="26">
        <f ca="1">IF(Y$4=OFFSET(Choices!$B$10,0,$C$1),AVERAGE(V$204/SUM(V$204,V$211,V$218),W$204/SUM(W$204,W$211,W$218),X$204/SUM(X$204,X$211,X$218)),X$204/SUM(X$204,X$211,X$218))*SUM(Y$260,Y$281,Y$292-Y$234)</f>
        <v>4.0268107240092199</v>
      </c>
      <c r="Z204" s="26">
        <f ca="1">IF(Z$4=OFFSET(Choices!$B$10,0,$C$1),AVERAGE(W$204/SUM(W$204,W$211,W$218),X$204/SUM(X$204,X$211,X$218),Y$204/SUM(Y$204,Y$211,Y$218)),Y$204/SUM(Y$204,Y$211,Y$218))*SUM(Z$260,Z$281,Z$292-Z$234)</f>
        <v>4.2011334044566411</v>
      </c>
      <c r="AA204" s="26">
        <f ca="1">IF(AA$4=OFFSET(Choices!$B$10,0,$C$1),AVERAGE(X$204/SUM(X$204,X$211,X$218),Y$204/SUM(Y$204,Y$211,Y$218),Z$204/SUM(Z$204,Z$211,Z$218)),Z$204/SUM(Z$204,Z$211,Z$218))*SUM(AA$260,AA$281,AA$292-AA$234)</f>
        <v>4.3805380187794665</v>
      </c>
      <c r="AB204" s="26">
        <f ca="1">IF(AB$4=OFFSET(Choices!$B$10,0,$C$1),AVERAGE(Y$204/SUM(Y$204,Y$211,Y$218),Z$204/SUM(Z$204,Z$211,Z$218),AA$204/SUM(AA$204,AA$211,AA$218)),AA$204/SUM(AA$204,AA$211,AA$218))*SUM(AB$260,AB$281,AB$292-AB$234)</f>
        <v>4.5643313502530036</v>
      </c>
      <c r="AC204" s="26">
        <f ca="1">IF(AC$4=OFFSET(Choices!$B$10,0,$C$1),AVERAGE(Z$204/SUM(Z$204,Z$211,Z$218),AA$204/SUM(AA$204,AA$211,AA$218),AB$204/SUM(AB$204,AB$211,AB$218)),AB$204/SUM(AB$204,AB$211,AB$218))*SUM(AC$260,AC$281,AC$292-AC$234)</f>
        <v>4.7534716230562077</v>
      </c>
      <c r="AD204" s="26"/>
      <c r="AE204" s="26"/>
    </row>
    <row r="205" spans="1:31" x14ac:dyDescent="0.2">
      <c r="A205" s="3" t="s">
        <v>415</v>
      </c>
      <c r="B205" s="4" t="str">
        <f>$B$46</f>
        <v>From Fiscal Forecasts</v>
      </c>
      <c r="F205" s="21">
        <f>'Fiscal Forecasts'!F$242</f>
        <v>-8.9999999999999993E-3</v>
      </c>
      <c r="G205" s="21">
        <f>'Fiscal Forecasts'!G$242</f>
        <v>-1.0999999999999999E-2</v>
      </c>
      <c r="H205" s="21">
        <f>'Fiscal Forecasts'!H$242</f>
        <v>-1.2E-2</v>
      </c>
      <c r="I205" s="21">
        <f>'Fiscal Forecasts'!I$242</f>
        <v>-1.2E-2</v>
      </c>
      <c r="J205" s="21">
        <f>'Fiscal Forecasts'!J$242</f>
        <v>-1.2999999999999999E-2</v>
      </c>
      <c r="K205" s="21">
        <f>'Fiscal Forecasts'!K$242</f>
        <v>-1.2999999999999999E-2</v>
      </c>
      <c r="L205" s="21">
        <f>'Fiscal Forecasts'!L$242</f>
        <v>-1.7000000000000001E-2</v>
      </c>
      <c r="M205" s="21">
        <f>'Fiscal Forecasts'!M$242</f>
        <v>-1.9E-2</v>
      </c>
      <c r="N205" s="21">
        <f>'Fiscal Forecasts'!N$242</f>
        <v>-2.3E-2</v>
      </c>
      <c r="O205" s="24">
        <f>'Fiscal Forecasts'!O$242</f>
        <v>-0.02</v>
      </c>
      <c r="P205" s="24">
        <f>'Fiscal Forecasts'!P$242</f>
        <v>-0.02</v>
      </c>
      <c r="Q205" s="24">
        <f>'Fiscal Forecasts'!Q$242</f>
        <v>-0.02</v>
      </c>
      <c r="R205" s="24">
        <f>'Fiscal Forecasts'!R$242</f>
        <v>-0.02</v>
      </c>
      <c r="S205" s="24">
        <f>'Fiscal Forecasts'!S$242</f>
        <v>-0.02</v>
      </c>
      <c r="T205" s="26">
        <f ca="1">IF(T$4=OFFSET(Choices!$B$10,0,$C$1),AVERAGE(Q$205/SUM(Q$205,Q$212,Q$219),R$205/SUM(R$205,R$212,R$219),S$205/SUM(S$205,S$212,S$219)),S$205/SUM(S$205,S$212,S$219))*SUM(T$193,T$251,T$261,T$282,T$293-T$235)</f>
        <v>-2.0325484953377871E-2</v>
      </c>
      <c r="U205" s="26">
        <f ca="1">IF(U$4=OFFSET(Choices!$B$10,0,$C$1),AVERAGE(R$205/SUM(R$205,R$212,R$219),S$205/SUM(S$205,S$212,S$219),T$205/SUM(T$205,T$212,T$219)),T$205/SUM(T$205,T$212,T$219))*SUM(U$193,U$251,U$261,U$282,U$293-U$235)</f>
        <v>-2.0539696023299497E-2</v>
      </c>
      <c r="V205" s="26">
        <f ca="1">IF(V$4=OFFSET(Choices!$B$10,0,$C$1),AVERAGE(S$205/SUM(S$205,S$212,S$219),T$205/SUM(T$205,T$212,T$219),U$205/SUM(U$205,U$212,U$219)),U$205/SUM(U$205,U$212,U$219))*SUM(V$193,V$251,V$261,V$282,V$293-V$235)</f>
        <v>-2.0765592398074649E-2</v>
      </c>
      <c r="W205" s="26">
        <f ca="1">IF(W$4=OFFSET(Choices!$B$10,0,$C$1),AVERAGE(T$205/SUM(T$205,T$212,T$219),U$205/SUM(U$205,U$212,U$219),V$205/SUM(V$205,V$212,V$219)),V$205/SUM(V$205,V$212,V$219))*SUM(W$193,W$251,W$261,W$282,W$293-W$235)</f>
        <v>-2.1004065809033523E-2</v>
      </c>
      <c r="X205" s="26">
        <f ca="1">IF(X$4=OFFSET(Choices!$B$10,0,$C$1),AVERAGE(U$205/SUM(U$205,U$212,U$219),V$205/SUM(V$205,V$212,V$219),W$205/SUM(W$205,W$212,W$219)),W$205/SUM(W$205,W$212,W$219))*SUM(X$193,X$251,X$261,X$282,X$293-X$235)</f>
        <v>-2.1252623360075367E-2</v>
      </c>
      <c r="Y205" s="26">
        <f ca="1">IF(Y$4=OFFSET(Choices!$B$10,0,$C$1),AVERAGE(V$205/SUM(V$205,V$212,V$219),W$205/SUM(W$205,W$212,W$219),X$205/SUM(X$205,X$212,X$219)),X$205/SUM(X$205,X$212,X$219))*SUM(Y$193,Y$251,Y$261,Y$282,Y$293-Y$235)</f>
        <v>-2.150900698674368E-2</v>
      </c>
      <c r="Z205" s="26">
        <f ca="1">IF(Z$4=OFFSET(Choices!$B$10,0,$C$1),AVERAGE(W$205/SUM(W$205,W$212,W$219),X$205/SUM(X$205,X$212,X$219),Y$205/SUM(Y$205,Y$212,Y$219)),Y$205/SUM(Y$205,Y$212,Y$219))*SUM(Z$193,Z$251,Z$261,Z$282,Z$293-Z$235)</f>
        <v>-2.1769698619094151E-2</v>
      </c>
      <c r="AA205" s="26">
        <f ca="1">IF(AA$4=OFFSET(Choices!$B$10,0,$C$1),AVERAGE(X$205/SUM(X$205,X$212,X$219),Y$205/SUM(Y$205,Y$212,Y$219),Z$205/SUM(Z$205,Z$212,Z$219)),Z$205/SUM(Z$205,Z$212,Z$219))*SUM(AA$193,AA$251,AA$261,AA$282,AA$293-AA$235)</f>
        <v>-2.2036763704555842E-2</v>
      </c>
      <c r="AB205" s="26">
        <f ca="1">IF(AB$4=OFFSET(Choices!$B$10,0,$C$1),AVERAGE(Y$205/SUM(Y$205,Y$212,Y$219),Z$205/SUM(Z$205,Z$212,Z$219),AA$205/SUM(AA$205,AA$212,AA$219)),AA$205/SUM(AA$205,AA$212,AA$219))*SUM(AB$193,AB$251,AB$261,AB$282,AB$293-AB$235)</f>
        <v>-2.2306873070623505E-2</v>
      </c>
      <c r="AC205" s="26">
        <f ca="1">IF(AC$4=OFFSET(Choices!$B$10,0,$C$1),AVERAGE(Z$205/SUM(Z$205,Z$212,Z$219),AA$205/SUM(AA$205,AA$212,AA$219),AB$205/SUM(AB$205,AB$212,AB$219)),AB$205/SUM(AB$205,AB$212,AB$219))*SUM(AC$193,AC$251,AC$261,AC$282,AC$293-AC$235)</f>
        <v>-2.2583441671982046E-2</v>
      </c>
      <c r="AD205" s="26"/>
      <c r="AE205" s="26"/>
    </row>
    <row r="206" spans="1:31" x14ac:dyDescent="0.2">
      <c r="A206" s="31" t="s">
        <v>477</v>
      </c>
      <c r="F206" s="56">
        <f>SUM(F$202:F$205)</f>
        <v>15.283999999999999</v>
      </c>
      <c r="G206" s="56">
        <f t="shared" ref="G206:AC206" si="142">SUM(G$202:G$205)</f>
        <v>16.478000000000002</v>
      </c>
      <c r="H206" s="56">
        <f t="shared" si="142"/>
        <v>18.064</v>
      </c>
      <c r="I206" s="56">
        <f t="shared" si="142"/>
        <v>18.476999999999997</v>
      </c>
      <c r="J206" s="56">
        <f t="shared" si="142"/>
        <v>19.087999999999997</v>
      </c>
      <c r="K206" s="56">
        <f t="shared" si="142"/>
        <v>19.474999999999998</v>
      </c>
      <c r="L206" s="56">
        <f t="shared" si="142"/>
        <v>19.934999999999999</v>
      </c>
      <c r="M206" s="56">
        <f t="shared" si="142"/>
        <v>20.484000000000002</v>
      </c>
      <c r="N206" s="56">
        <f t="shared" si="142"/>
        <v>21.123999999999999</v>
      </c>
      <c r="O206" s="57">
        <f t="shared" si="142"/>
        <v>21.849</v>
      </c>
      <c r="P206" s="57">
        <f t="shared" si="142"/>
        <v>21.783999999999999</v>
      </c>
      <c r="Q206" s="57">
        <f t="shared" si="142"/>
        <v>21.93</v>
      </c>
      <c r="R206" s="57">
        <f t="shared" si="142"/>
        <v>22.065999999999999</v>
      </c>
      <c r="S206" s="57">
        <f t="shared" si="142"/>
        <v>22.305</v>
      </c>
      <c r="T206" s="58">
        <f t="shared" ca="1" si="142"/>
        <v>22.60199437524</v>
      </c>
      <c r="U206" s="58">
        <f t="shared" ca="1" si="142"/>
        <v>22.922136200249149</v>
      </c>
      <c r="V206" s="58">
        <f t="shared" ca="1" si="142"/>
        <v>23.268109741876234</v>
      </c>
      <c r="W206" s="58">
        <f t="shared" ca="1" si="142"/>
        <v>23.636510254921419</v>
      </c>
      <c r="X206" s="58">
        <f t="shared" ca="1" si="142"/>
        <v>24.019111732830531</v>
      </c>
      <c r="Y206" s="58">
        <f t="shared" ca="1" si="142"/>
        <v>24.413434376445345</v>
      </c>
      <c r="Z206" s="58">
        <f t="shared" ca="1" si="142"/>
        <v>24.817856324508618</v>
      </c>
      <c r="AA206" s="58">
        <f t="shared" ca="1" si="142"/>
        <v>25.229982709809775</v>
      </c>
      <c r="AB206" s="58">
        <f t="shared" ca="1" si="142"/>
        <v>25.644124051543738</v>
      </c>
      <c r="AC206" s="58">
        <f t="shared" ca="1" si="142"/>
        <v>26.070396720522972</v>
      </c>
      <c r="AD206" s="26"/>
      <c r="AE206" s="26"/>
    </row>
    <row r="207" spans="1:31" x14ac:dyDescent="0.2">
      <c r="AD207" s="26"/>
      <c r="AE207" s="26"/>
    </row>
    <row r="208" spans="1:31" x14ac:dyDescent="0.2">
      <c r="A208" s="31" t="s">
        <v>231</v>
      </c>
      <c r="AD208" s="26"/>
      <c r="AE208" s="26"/>
    </row>
    <row r="209" spans="1:31" x14ac:dyDescent="0.2">
      <c r="A209" s="3" t="s">
        <v>412</v>
      </c>
      <c r="B209" s="4" t="str">
        <f>$B$46</f>
        <v>From Fiscal Forecasts</v>
      </c>
      <c r="F209" s="21">
        <f>'Fiscal Forecasts'!F$245</f>
        <v>1.1600000000000001</v>
      </c>
      <c r="G209" s="21">
        <f>'Fiscal Forecasts'!G$245</f>
        <v>1.2049999999999983</v>
      </c>
      <c r="H209" s="21">
        <f>'Fiscal Forecasts'!H$245</f>
        <v>1.6130000000000067</v>
      </c>
      <c r="I209" s="21">
        <f>'Fiscal Forecasts'!I$245</f>
        <v>1.3849999999999909</v>
      </c>
      <c r="J209" s="21">
        <f>'Fiscal Forecasts'!J$245</f>
        <v>1.6850000000000023</v>
      </c>
      <c r="K209" s="21">
        <f>'Fiscal Forecasts'!K$245</f>
        <v>1.3870000000000005</v>
      </c>
      <c r="L209" s="21">
        <f>'Fiscal Forecasts'!L$245</f>
        <v>1.3779999999999999</v>
      </c>
      <c r="M209" s="21">
        <f>'Fiscal Forecasts'!M$245</f>
        <v>1.476</v>
      </c>
      <c r="N209" s="21">
        <f>'Fiscal Forecasts'!N$245</f>
        <v>1.4410000000000001</v>
      </c>
      <c r="O209" s="24">
        <f>'Fiscal Forecasts'!O$245</f>
        <v>1.55</v>
      </c>
      <c r="P209" s="24">
        <f>'Fiscal Forecasts'!P$245</f>
        <v>1.5780000000000001</v>
      </c>
      <c r="Q209" s="24">
        <f>'Fiscal Forecasts'!Q$245</f>
        <v>1.617</v>
      </c>
      <c r="R209" s="24">
        <f>'Fiscal Forecasts'!R$245</f>
        <v>1.694</v>
      </c>
      <c r="S209" s="24">
        <f>'Fiscal Forecasts'!S$245</f>
        <v>1.724</v>
      </c>
      <c r="T209" s="26">
        <f t="shared" ref="T209:AC209" ca="1" si="143">T$410+(S$209-S$410)*T$29/S$29</f>
        <v>1.7811724715356205</v>
      </c>
      <c r="U209" s="26">
        <f t="shared" ca="1" si="143"/>
        <v>1.8295789064189343</v>
      </c>
      <c r="V209" s="26">
        <f t="shared" ca="1" si="143"/>
        <v>1.8778080316003334</v>
      </c>
      <c r="W209" s="26">
        <f t="shared" ca="1" si="143"/>
        <v>1.9303478283628548</v>
      </c>
      <c r="X209" s="26">
        <f t="shared" ca="1" si="143"/>
        <v>1.9823854201362485</v>
      </c>
      <c r="Y209" s="26">
        <f t="shared" ca="1" si="143"/>
        <v>2.0354896816904078</v>
      </c>
      <c r="Z209" s="26">
        <f t="shared" ca="1" si="143"/>
        <v>2.0896076317334398</v>
      </c>
      <c r="AA209" s="26">
        <f t="shared" ca="1" si="143"/>
        <v>2.1446935026644951</v>
      </c>
      <c r="AB209" s="26">
        <f t="shared" ca="1" si="143"/>
        <v>2.200753369135477</v>
      </c>
      <c r="AC209" s="26">
        <f t="shared" ca="1" si="143"/>
        <v>2.2578040059008444</v>
      </c>
      <c r="AD209" s="26"/>
      <c r="AE209" s="26"/>
    </row>
    <row r="210" spans="1:31" x14ac:dyDescent="0.2">
      <c r="A210" s="3" t="s">
        <v>413</v>
      </c>
      <c r="B210" s="4" t="str">
        <f>$B$46</f>
        <v>From Fiscal Forecasts</v>
      </c>
      <c r="F210" s="21">
        <f>'Fiscal Forecasts'!F$246</f>
        <v>1.2999999999999989</v>
      </c>
      <c r="G210" s="21">
        <f>'Fiscal Forecasts'!G$246</f>
        <v>1.3629999999999978</v>
      </c>
      <c r="H210" s="21">
        <f>'Fiscal Forecasts'!H$246</f>
        <v>1.4749999999999996</v>
      </c>
      <c r="I210" s="21">
        <f>'Fiscal Forecasts'!I$246</f>
        <v>1.5390000000000015</v>
      </c>
      <c r="J210" s="21">
        <f>'Fiscal Forecasts'!J$246</f>
        <v>1.3960000000000043</v>
      </c>
      <c r="K210" s="21">
        <f>'Fiscal Forecasts'!K$246</f>
        <v>1.2299999999999969</v>
      </c>
      <c r="L210" s="21">
        <f>'Fiscal Forecasts'!L$246</f>
        <v>1.583</v>
      </c>
      <c r="M210" s="21">
        <f>'Fiscal Forecasts'!M$246</f>
        <v>1.661</v>
      </c>
      <c r="N210" s="21">
        <f>'Fiscal Forecasts'!N$246</f>
        <v>1.7509999999999999</v>
      </c>
      <c r="O210" s="24">
        <f>'Fiscal Forecasts'!O$246</f>
        <v>1.7769999999999999</v>
      </c>
      <c r="P210" s="24">
        <f>'Fiscal Forecasts'!P$246</f>
        <v>1.881</v>
      </c>
      <c r="Q210" s="24">
        <f>'Fiscal Forecasts'!Q$246</f>
        <v>1.946</v>
      </c>
      <c r="R210" s="24">
        <f>'Fiscal Forecasts'!R$246</f>
        <v>2.004</v>
      </c>
      <c r="S210" s="24">
        <f>'Fiscal Forecasts'!S$246</f>
        <v>2.0579999999999998</v>
      </c>
      <c r="T210" s="26">
        <f ca="1">IF(T$4=OFFSET(Choices!$B$10,0,$C$1),AVERAGE(Q$210/SUM(Q$210,Q$211),R$210/SUM(R$210,R$211),S$210/SUM(S$210,S$211)),S$210/SUM(S$210,S$211))*((T$413-T$410)+(SUM(S$210,S$211)-(S$413-S$410))*T$29/S$29)</f>
        <v>2.0347395751761819</v>
      </c>
      <c r="U210" s="26">
        <f ca="1">IF(U$4=OFFSET(Choices!$B$10,0,$C$1),AVERAGE(R$210/SUM(R$210,R$211),S$210/SUM(S$210,S$211),T$210/SUM(T$210,T$211)),T$210/SUM(T$210,T$211))*((U$413-U$410)+(SUM(T$210,T$211)-(T$413-T$410))*U$29/T$29)</f>
        <v>2.052528714396602</v>
      </c>
      <c r="V210" s="26">
        <f ca="1">IF(V$4=OFFSET(Choices!$B$10,0,$C$1),AVERAGE(S$210/SUM(S$210,S$211),T$210/SUM(T$210,T$211),U$210/SUM(U$210,U$211)),U$210/SUM(U$210,U$211))*((V$413-V$410)+(SUM(U$210,U$211)-(U$413-U$410))*V$29/U$29)</f>
        <v>2.0734763705985104</v>
      </c>
      <c r="W210" s="26">
        <f ca="1">IF(W$4=OFFSET(Choices!$B$10,0,$C$1),AVERAGE(T$210/SUM(T$210,T$211),U$210/SUM(U$210,U$211),V$210/SUM(V$210,V$211)),V$210/SUM(V$210,V$211))*((W$413-W$410)+(SUM(V$210,V$211)-(V$413-V$410))*W$29/V$29)</f>
        <v>2.0976826826303094</v>
      </c>
      <c r="X210" s="26">
        <f ca="1">IF(X$4=OFFSET(Choices!$B$10,0,$C$1),AVERAGE(U$210/SUM(U$210,U$211),V$210/SUM(V$210,V$211),W$210/SUM(W$210,W$211)),W$210/SUM(W$210,W$211))*((X$413-X$410)+(SUM(W$210,W$211)-(W$413-W$410))*X$29/W$29)</f>
        <v>2.1251782227138811</v>
      </c>
      <c r="Y210" s="26">
        <f ca="1">IF(Y$4=OFFSET(Choices!$B$10,0,$C$1),AVERAGE(V$210/SUM(V$210,V$211),W$210/SUM(W$210,W$211),X$210/SUM(X$210,X$211)),X$210/SUM(X$210,X$211))*((Y$413-Y$410)+(SUM(X$210,X$211)-(X$413-X$410))*Y$29/X$29)</f>
        <v>2.1560140497106985</v>
      </c>
      <c r="Z210" s="26">
        <f ca="1">IF(Z$4=OFFSET(Choices!$B$10,0,$C$1),AVERAGE(W$210/SUM(W$210,W$211),X$210/SUM(X$210,X$211),Y$210/SUM(Y$210,Y$211)),Y$210/SUM(Y$210,Y$211))*((Z$413-Z$410)+(SUM(Y$210,Y$211)-(Y$413-Y$410))*Z$29/Y$29)</f>
        <v>2.1902093179527755</v>
      </c>
      <c r="AA210" s="26">
        <f ca="1">IF(AA$4=OFFSET(Choices!$B$10,0,$C$1),AVERAGE(X$210/SUM(X$210,X$211),Y$210/SUM(Y$210,Y$211),Z$210/SUM(Z$210,Z$211)),Z$210/SUM(Z$210,Z$211))*((AA$413-AA$410)+(SUM(Z$210,Z$211)-(Z$413-Z$410))*AA$29/Z$29)</f>
        <v>2.2277738574032457</v>
      </c>
      <c r="AB210" s="26">
        <f ca="1">IF(AB$4=OFFSET(Choices!$B$10,0,$C$1),AVERAGE(Y$210/SUM(Y$210,Y$211),Z$210/SUM(Z$210,Z$211),AA$210/SUM(AA$210,AA$211)),AA$210/SUM(AA$210,AA$211))*((AB$413-AB$410)+(SUM(AA$210,AA$211)-(AA$413-AA$410))*AB$29/AA$29)</f>
        <v>2.2687203175231723</v>
      </c>
      <c r="AC210" s="26">
        <f ca="1">IF(AC$4=OFFSET(Choices!$B$10,0,$C$1),AVERAGE(Z$210/SUM(Z$210,Z$211),AA$210/SUM(AA$210,AA$211),AB$210/SUM(AB$210,AB$211)),AB$210/SUM(AB$210,AB$211))*((AC$413-AC$410)+(SUM(AB$210,AB$211)-(AB$413-AB$410))*AC$29/AB$29)</f>
        <v>2.3130434668245519</v>
      </c>
      <c r="AD210" s="26"/>
      <c r="AE210" s="26"/>
    </row>
    <row r="211" spans="1:31" x14ac:dyDescent="0.2">
      <c r="A211" s="3" t="s">
        <v>414</v>
      </c>
      <c r="B211" s="4" t="str">
        <f>$B$46</f>
        <v>From Fiscal Forecasts</v>
      </c>
      <c r="F211" s="21">
        <f>'Fiscal Forecasts'!F$247</f>
        <v>0.93799999999999972</v>
      </c>
      <c r="G211" s="21">
        <f>'Fiscal Forecasts'!G$247</f>
        <v>1.1020000000000003</v>
      </c>
      <c r="H211" s="21">
        <f>'Fiscal Forecasts'!H$247</f>
        <v>1.2870000000000008</v>
      </c>
      <c r="I211" s="21">
        <f>'Fiscal Forecasts'!I$247</f>
        <v>1.3060000000000009</v>
      </c>
      <c r="J211" s="21">
        <f>'Fiscal Forecasts'!J$247</f>
        <v>1.6020000000000003</v>
      </c>
      <c r="K211" s="21">
        <f>'Fiscal Forecasts'!K$247</f>
        <v>3.7350000000000012</v>
      </c>
      <c r="L211" s="21">
        <f>'Fiscal Forecasts'!L$247</f>
        <v>1.851</v>
      </c>
      <c r="M211" s="21">
        <f>'Fiscal Forecasts'!M$247</f>
        <v>1.7350000000000001</v>
      </c>
      <c r="N211" s="21">
        <f>'Fiscal Forecasts'!N$247</f>
        <v>1.65</v>
      </c>
      <c r="O211" s="24">
        <f>'Fiscal Forecasts'!O$247</f>
        <v>1.609</v>
      </c>
      <c r="P211" s="24">
        <f>'Fiscal Forecasts'!P$247</f>
        <v>1.6539999999999999</v>
      </c>
      <c r="Q211" s="24">
        <f>'Fiscal Forecasts'!Q$247</f>
        <v>1.744</v>
      </c>
      <c r="R211" s="24">
        <f>'Fiscal Forecasts'!R$247</f>
        <v>1.7450000000000001</v>
      </c>
      <c r="S211" s="24">
        <f>'Fiscal Forecasts'!S$247</f>
        <v>1.728</v>
      </c>
      <c r="T211" s="26">
        <f ca="1">IF(T$4=OFFSET(Choices!$B$10,0,$C$1),AVERAGE(Q$211/SUM(Q$210,Q$211),R$211/SUM(R$210,R$211),S$211/SUM(S$210,S$211)),S$211/SUM(S$210,S$211))*((T$413-T$410)+(SUM(S$210,S$211)-(S$413-S$410))*T$29/S$29)</f>
        <v>1.7673383335729365</v>
      </c>
      <c r="U211" s="26">
        <f ca="1">IF(U$4=OFFSET(Choices!$B$10,0,$C$1),AVERAGE(R$211/SUM(R$210,R$211),S$211/SUM(S$210,S$211),T$211/SUM(T$210,T$211)),T$211/SUM(T$210,T$211))*((U$413-U$410)+(SUM(T$210,T$211)-(T$413-T$410))*U$29/T$29)</f>
        <v>1.7827896611281062</v>
      </c>
      <c r="V211" s="26">
        <f ca="1">IF(V$4=OFFSET(Choices!$B$10,0,$C$1),AVERAGE(S$211/SUM(S$210,S$211),T$211/SUM(T$210,T$211),U$211/SUM(U$210,U$211)),U$211/SUM(U$210,U$211))*((V$413-V$410)+(SUM(U$210,U$211)-(U$413-U$410))*V$29/U$29)</f>
        <v>1.8009844199344924</v>
      </c>
      <c r="W211" s="26">
        <f ca="1">IF(W$4=OFFSET(Choices!$B$10,0,$C$1),AVERAGE(T$211/SUM(T$210,T$211),U$211/SUM(U$210,U$211),V$211/SUM(V$210,V$211)),V$211/SUM(V$210,V$211))*((W$413-W$410)+(SUM(V$210,V$211)-(V$413-V$410))*W$29/V$29)</f>
        <v>1.8220095888013836</v>
      </c>
      <c r="X211" s="26">
        <f ca="1">IF(X$4=OFFSET(Choices!$B$10,0,$C$1),AVERAGE(U$211/SUM(U$210,U$211),V$211/SUM(V$210,V$211),W$211/SUM(W$210,W$211)),W$211/SUM(W$210,W$211))*((X$413-X$410)+(SUM(W$210,W$211)-(W$413-W$410))*X$29/W$29)</f>
        <v>1.8458917222128692</v>
      </c>
      <c r="Y211" s="26">
        <f ca="1">IF(Y$4=OFFSET(Choices!$B$10,0,$C$1),AVERAGE(V$211/SUM(V$210,V$211),W$211/SUM(W$210,W$211),X$211/SUM(X$210,X$211)),X$211/SUM(X$210,X$211))*((Y$413-Y$410)+(SUM(X$210,X$211)-(X$413-X$410))*Y$29/X$29)</f>
        <v>1.8726751689810779</v>
      </c>
      <c r="Z211" s="26">
        <f ca="1">IF(Z$4=OFFSET(Choices!$B$10,0,$C$1),AVERAGE(W$211/SUM(W$210,W$211),X$211/SUM(X$210,X$211),Y$211/SUM(Y$210,Y$211)),Y$211/SUM(Y$210,Y$211))*((Z$413-Z$410)+(SUM(Y$210,Y$211)-(Y$413-Y$410))*Z$29/Y$29)</f>
        <v>1.9023765662155612</v>
      </c>
      <c r="AA211" s="26">
        <f ca="1">IF(AA$4=OFFSET(Choices!$B$10,0,$C$1),AVERAGE(X$211/SUM(X$210,X$211),Y$211/SUM(Y$210,Y$211),Z$211/SUM(Z$210,Z$211)),Z$211/SUM(Z$210,Z$211))*((AA$413-AA$410)+(SUM(Z$210,Z$211)-(Z$413-Z$410))*AA$29/Z$29)</f>
        <v>1.9350044520461498</v>
      </c>
      <c r="AB211" s="26">
        <f ca="1">IF(AB$4=OFFSET(Choices!$B$10,0,$C$1),AVERAGE(Y$211/SUM(Y$210,Y$211),Z$211/SUM(Z$210,Z$211),AA$211/SUM(AA$210,AA$211)),AA$211/SUM(AA$210,AA$211))*((AB$413-AB$410)+(SUM(AA$210,AA$211)-(AA$413-AA$410))*AB$29/AA$29)</f>
        <v>1.9705698135680516</v>
      </c>
      <c r="AC211" s="26">
        <f ca="1">IF(AC$4=OFFSET(Choices!$B$10,0,$C$1),AVERAGE(Z$211/SUM(Z$210,Z$211),AA$211/SUM(AA$210,AA$211),AB$211/SUM(AB$210,AB$211)),AB$211/SUM(AB$210,AB$211))*((AC$413-AC$410)+(SUM(AB$210,AB$211)-(AB$413-AB$410))*AC$29/AB$29)</f>
        <v>2.0090681068045324</v>
      </c>
      <c r="AD211" s="26"/>
      <c r="AE211" s="26"/>
    </row>
    <row r="212" spans="1:31" x14ac:dyDescent="0.2">
      <c r="A212" s="3" t="s">
        <v>415</v>
      </c>
      <c r="B212" s="4" t="str">
        <f>$B$46</f>
        <v>From Fiscal Forecasts</v>
      </c>
      <c r="F212" s="21">
        <f>'Fiscal Forecasts'!F$248</f>
        <v>-1.0000000000012221E-3</v>
      </c>
      <c r="G212" s="21">
        <f>'Fiscal Forecasts'!G$248</f>
        <v>0</v>
      </c>
      <c r="H212" s="21">
        <f>'Fiscal Forecasts'!H$248</f>
        <v>-7.0000000000000284E-2</v>
      </c>
      <c r="I212" s="21">
        <f>'Fiscal Forecasts'!I$248</f>
        <v>-1.0000000000012221E-3</v>
      </c>
      <c r="J212" s="21">
        <f>'Fiscal Forecasts'!J$248</f>
        <v>-1.0000000000012221E-3</v>
      </c>
      <c r="K212" s="21">
        <f>'Fiscal Forecasts'!K$248</f>
        <v>-1.9999999999988916E-3</v>
      </c>
      <c r="L212" s="21">
        <f>'Fiscal Forecasts'!L$248</f>
        <v>0</v>
      </c>
      <c r="M212" s="21">
        <f>'Fiscal Forecasts'!M$248</f>
        <v>0</v>
      </c>
      <c r="N212" s="21">
        <f>'Fiscal Forecasts'!N$248</f>
        <v>0</v>
      </c>
      <c r="O212" s="24">
        <f>'Fiscal Forecasts'!O$248</f>
        <v>0</v>
      </c>
      <c r="P212" s="24">
        <f>'Fiscal Forecasts'!P$248</f>
        <v>0</v>
      </c>
      <c r="Q212" s="24">
        <f>'Fiscal Forecasts'!Q$248</f>
        <v>0</v>
      </c>
      <c r="R212" s="24">
        <f>'Fiscal Forecasts'!R$248</f>
        <v>0</v>
      </c>
      <c r="S212" s="24">
        <f>'Fiscal Forecasts'!S$248</f>
        <v>0</v>
      </c>
      <c r="T212" s="26">
        <f ca="1">IF(T$4=OFFSET(Choices!$B$10,0,$C$1),0,S$212)</f>
        <v>0</v>
      </c>
      <c r="U212" s="26">
        <f ca="1">IF(U$4=OFFSET(Choices!$B$10,0,$C$1),0,T$212)</f>
        <v>0</v>
      </c>
      <c r="V212" s="26">
        <f ca="1">IF(V$4=OFFSET(Choices!$B$10,0,$C$1),0,U$212)</f>
        <v>0</v>
      </c>
      <c r="W212" s="26">
        <f ca="1">IF(W$4=OFFSET(Choices!$B$10,0,$C$1),0,V$212)</f>
        <v>0</v>
      </c>
      <c r="X212" s="26">
        <f ca="1">IF(X$4=OFFSET(Choices!$B$10,0,$C$1),0,W$212)</f>
        <v>0</v>
      </c>
      <c r="Y212" s="26">
        <f ca="1">IF(Y$4=OFFSET(Choices!$B$10,0,$C$1),0,X$212)</f>
        <v>0</v>
      </c>
      <c r="Z212" s="26">
        <f ca="1">IF(Z$4=OFFSET(Choices!$B$10,0,$C$1),0,Y$212)</f>
        <v>0</v>
      </c>
      <c r="AA212" s="26">
        <f ca="1">IF(AA$4=OFFSET(Choices!$B$10,0,$C$1),0,Z$212)</f>
        <v>0</v>
      </c>
      <c r="AB212" s="26">
        <f ca="1">IF(AB$4=OFFSET(Choices!$B$10,0,$C$1),0,AA$212)</f>
        <v>0</v>
      </c>
      <c r="AC212" s="26">
        <f ca="1">IF(AC$4=OFFSET(Choices!$B$10,0,$C$1),0,AB$212)</f>
        <v>0</v>
      </c>
      <c r="AD212" s="26"/>
      <c r="AE212" s="26"/>
    </row>
    <row r="213" spans="1:31" x14ac:dyDescent="0.2">
      <c r="A213" s="31" t="s">
        <v>485</v>
      </c>
      <c r="F213" s="56">
        <f>SUM(F$209:F$212)</f>
        <v>3.3969999999999976</v>
      </c>
      <c r="G213" s="56">
        <f t="shared" ref="G213:AC213" si="144">SUM(G$209:G$212)</f>
        <v>3.6699999999999964</v>
      </c>
      <c r="H213" s="56">
        <f t="shared" si="144"/>
        <v>4.3050000000000068</v>
      </c>
      <c r="I213" s="56">
        <f t="shared" si="144"/>
        <v>4.2289999999999921</v>
      </c>
      <c r="J213" s="56">
        <f t="shared" si="144"/>
        <v>4.6820000000000057</v>
      </c>
      <c r="K213" s="56">
        <f t="shared" si="144"/>
        <v>6.35</v>
      </c>
      <c r="L213" s="56">
        <f t="shared" si="144"/>
        <v>4.8119999999999994</v>
      </c>
      <c r="M213" s="56">
        <f t="shared" si="144"/>
        <v>4.8719999999999999</v>
      </c>
      <c r="N213" s="56">
        <f t="shared" si="144"/>
        <v>4.8420000000000005</v>
      </c>
      <c r="O213" s="57">
        <f t="shared" si="144"/>
        <v>4.9359999999999999</v>
      </c>
      <c r="P213" s="57">
        <f t="shared" si="144"/>
        <v>5.1129999999999995</v>
      </c>
      <c r="Q213" s="57">
        <f t="shared" si="144"/>
        <v>5.3069999999999995</v>
      </c>
      <c r="R213" s="57">
        <f t="shared" si="144"/>
        <v>5.4429999999999996</v>
      </c>
      <c r="S213" s="57">
        <f t="shared" si="144"/>
        <v>5.51</v>
      </c>
      <c r="T213" s="58">
        <f t="shared" ca="1" si="144"/>
        <v>5.5832503802847384</v>
      </c>
      <c r="U213" s="58">
        <f t="shared" ca="1" si="144"/>
        <v>5.6648972819436425</v>
      </c>
      <c r="V213" s="58">
        <f t="shared" ca="1" si="144"/>
        <v>5.7522688221333365</v>
      </c>
      <c r="W213" s="58">
        <f t="shared" ca="1" si="144"/>
        <v>5.8500400997945476</v>
      </c>
      <c r="X213" s="58">
        <f t="shared" ca="1" si="144"/>
        <v>5.9534553650629984</v>
      </c>
      <c r="Y213" s="58">
        <f t="shared" ca="1" si="144"/>
        <v>6.064178900382184</v>
      </c>
      <c r="Z213" s="58">
        <f t="shared" ca="1" si="144"/>
        <v>6.1821935159017762</v>
      </c>
      <c r="AA213" s="58">
        <f t="shared" ca="1" si="144"/>
        <v>6.3074718121138913</v>
      </c>
      <c r="AB213" s="58">
        <f t="shared" ca="1" si="144"/>
        <v>6.4400435002267002</v>
      </c>
      <c r="AC213" s="58">
        <f t="shared" ca="1" si="144"/>
        <v>6.5799155795299287</v>
      </c>
      <c r="AD213" s="26"/>
      <c r="AE213" s="26"/>
    </row>
    <row r="214" spans="1:31" x14ac:dyDescent="0.2">
      <c r="G214" s="26"/>
      <c r="H214" s="26"/>
      <c r="I214" s="26"/>
      <c r="J214" s="26"/>
      <c r="K214" s="26"/>
      <c r="L214" s="26"/>
      <c r="M214" s="26"/>
      <c r="N214" s="26"/>
      <c r="O214" s="26"/>
      <c r="P214" s="26"/>
      <c r="Q214" s="26"/>
      <c r="R214" s="26"/>
      <c r="AD214" s="26"/>
      <c r="AE214" s="26"/>
    </row>
    <row r="215" spans="1:31" x14ac:dyDescent="0.2">
      <c r="A215" s="31" t="s">
        <v>232</v>
      </c>
      <c r="AD215" s="26"/>
      <c r="AE215" s="26"/>
    </row>
    <row r="216" spans="1:31" x14ac:dyDescent="0.2">
      <c r="A216" s="3" t="s">
        <v>412</v>
      </c>
      <c r="B216" s="4" t="str">
        <f>$B$46</f>
        <v>From Fiscal Forecasts</v>
      </c>
      <c r="F216" s="21">
        <f>'Fiscal Forecasts'!F$251</f>
        <v>28.951000000000001</v>
      </c>
      <c r="G216" s="21">
        <f>'Fiscal Forecasts'!G$251</f>
        <v>29.219000000000001</v>
      </c>
      <c r="H216" s="21">
        <f>'Fiscal Forecasts'!H$251</f>
        <v>33.646999999999998</v>
      </c>
      <c r="I216" s="21">
        <f>'Fiscal Forecasts'!I$251</f>
        <v>32.822000000000003</v>
      </c>
      <c r="J216" s="21">
        <f>'Fiscal Forecasts'!J$251</f>
        <v>37.454000000000001</v>
      </c>
      <c r="K216" s="21">
        <f>'Fiscal Forecasts'!K$251</f>
        <v>35.875999999999998</v>
      </c>
      <c r="L216" s="21">
        <f>'Fiscal Forecasts'!L$251</f>
        <v>36.564999999999998</v>
      </c>
      <c r="M216" s="21">
        <f>'Fiscal Forecasts'!M$251</f>
        <v>36.485999999999997</v>
      </c>
      <c r="N216" s="21">
        <f>'Fiscal Forecasts'!N$251</f>
        <v>36.857999999999997</v>
      </c>
      <c r="O216" s="24">
        <f>'Fiscal Forecasts'!O$251</f>
        <v>39.232999999999997</v>
      </c>
      <c r="P216" s="24">
        <f>'Fiscal Forecasts'!P$251</f>
        <v>38.627000000000002</v>
      </c>
      <c r="Q216" s="24">
        <f>'Fiscal Forecasts'!Q$251</f>
        <v>38.728000000000002</v>
      </c>
      <c r="R216" s="24">
        <f>'Fiscal Forecasts'!R$251</f>
        <v>38.631999999999998</v>
      </c>
      <c r="S216" s="24">
        <f>'Fiscal Forecasts'!S$251</f>
        <v>38.691000000000003</v>
      </c>
      <c r="T216" s="26">
        <f ca="1">IF(T$4=OFFSET(Choices!$B$10,0,$C$1),AVERAGE((SUM(Q$209,Q$216)-SUM(Q$249,-Q$390,-Q$393,Q$257,Q$267,Q$279,Q$305,Q$310))/(SUM(Q$202,Q$209,Q$216)-SUM(Q$245,Q$249,-Q$390,-Q$393,Q$257,Q$267,Q$279,Q$305,Q$310)),(SUM(R$209,R$216)-SUM(R$249,-R$390,-R$393,R$257,R$267,R$279,R$305,R$310))/(SUM(R$202,R$209,R$216)-SUM(R$245,R$249,-R$390,-R$393,R$257,R$267,R$279,R$305,R$310)),(SUM(S$209,S$216)-SUM(S$249,-S$390,-S$393,S$257,S$267,S$279,S$305,S$310))/(SUM(S$202,S$209,S$216)-SUM(S$245,S$249,-S$390,-S$393,S$257,S$267,S$279,S$305,S$310))),(SUM(S$209,S$216)-SUM(S$249,-S$390,-S$393,S$257,S$267,S$279,S$305,S$310))/(SUM(S$202,S$209,S$216)-SUM(S$245,S$249,-S$390,-S$393,S$257,S$267,S$279,S$305,S$310)))*SUM(T$190,T$364,T$268,T$272,T$275,T$287-T$232,T$295,T$298,T$301,T$306)+SUM(T$249,-T$390,-T$393,T$257,T$267,T$279,T$305,T$310)-SUM(T$209,T$232)</f>
        <v>38.386514739237903</v>
      </c>
      <c r="U216" s="26">
        <f ca="1">IF(U$4=OFFSET(Choices!$B$10,0,$C$1),AVERAGE((SUM(R$209,R$216)-SUM(R$249,-R$390,-R$393,R$257,R$267,R$279,R$305,R$310))/(SUM(R$202,R$209,R$216)-SUM(R$245,R$249,-R$390,-R$393,R$257,R$267,R$279,R$305,R$310)),(SUM(S$209,S$216)-SUM(S$249,-S$390,-S$393,S$257,S$267,S$279,S$305,S$310))/(SUM(S$202,S$209,S$216)-SUM(S$245,S$249,-S$390,-S$393,S$257,S$267,S$279,S$305,S$310)),(SUM(T$209,T$216)-SUM(T$249,-T$390,-T$393,T$257,T$267,T$279,T$305,T$310))/(SUM(T$202,T$209,T$216)-SUM(T$245,T$249,-T$390,-T$393,T$257,T$267,T$279,T$305,T$310))),(SUM(T$209,T$216)-SUM(T$249,-T$390,-T$393,T$257,T$267,T$279,T$305,T$310))/(SUM(T$202,T$209,T$216)-SUM(T$245,T$249,-T$390,-T$393,T$257,T$267,T$279,T$305,T$310)))*SUM(U$190,U$364,U$268,U$272,U$275,U$287-U$232,U$295,U$298,U$301,U$306)+SUM(U$249,-U$390,-U$393,U$257,U$267,U$279,U$305,U$310)-SUM(U$209,U$232)</f>
        <v>38.544611682403698</v>
      </c>
      <c r="V216" s="26">
        <f ca="1">IF(V$4=OFFSET(Choices!$B$10,0,$C$1),AVERAGE((SUM(S$209,S$216)-SUM(S$249,-S$390,-S$393,S$257,S$267,S$279,S$305,S$310))/(SUM(S$202,S$209,S$216)-SUM(S$245,S$249,-S$390,-S$393,S$257,S$267,S$279,S$305,S$310)),(SUM(T$209,T$216)-SUM(T$249,-T$390,-T$393,T$257,T$267,T$279,T$305,T$310))/(SUM(T$202,T$209,T$216)-SUM(T$245,T$249,-T$390,-T$393,T$257,T$267,T$279,T$305,T$310)),(SUM(U$209,U$216)-SUM(U$249,-U$390,-U$393,U$257,U$267,U$279,U$305,U$310))/(SUM(U$202,U$209,U$216)-SUM(U$245,U$249,-U$390,-U$393,U$257,U$267,U$279,U$305,U$310))),(SUM(U$209,U$216)-SUM(U$249,-U$390,-U$393,U$257,U$267,U$279,U$305,U$310))/(SUM(U$202,U$209,U$216)-SUM(U$245,U$249,-U$390,-U$393,U$257,U$267,U$279,U$305,U$310)))*SUM(V$190,V$364,V$268,V$272,V$275,V$287-V$232,V$295,V$298,V$301,V$306)+SUM(V$249,-V$390,-V$393,V$257,V$267,V$279,V$305,V$310)-SUM(V$209,V$232)</f>
        <v>38.720274040629171</v>
      </c>
      <c r="W216" s="26">
        <f ca="1">IF(W$4=OFFSET(Choices!$B$10,0,$C$1),AVERAGE((SUM(T$209,T$216)-SUM(T$249,-T$390,-T$393,T$257,T$267,T$279,T$305,T$310))/(SUM(T$202,T$209,T$216)-SUM(T$245,T$249,-T$390,-T$393,T$257,T$267,T$279,T$305,T$310)),(SUM(U$209,U$216)-SUM(U$249,-U$390,-U$393,U$257,U$267,U$279,U$305,U$310))/(SUM(U$202,U$209,U$216)-SUM(U$245,U$249,-U$390,-U$393,U$257,U$267,U$279,U$305,U$310)),(SUM(V$209,V$216)-SUM(V$249,-V$390,-V$393,V$257,V$267,V$279,V$305,V$310))/(SUM(V$202,V$209,V$216)-SUM(V$245,V$249,-V$390,-V$393,V$257,V$267,V$279,V$305,V$310))),(SUM(V$209,V$216)-SUM(V$249,-V$390,-V$393,V$257,V$267,V$279,V$305,V$310))/(SUM(V$202,V$209,V$216)-SUM(V$245,V$249,-V$390,-V$393,V$257,V$267,V$279,V$305,V$310)))*SUM(W$190,W$364,W$268,W$272,W$275,W$287-W$232,W$295,W$298,W$301,W$306)+SUM(W$249,-W$390,-W$393,W$257,W$267,W$279,W$305,W$310)-SUM(W$209,W$232)</f>
        <v>38.901223874608085</v>
      </c>
      <c r="X216" s="26">
        <f ca="1">IF(X$4=OFFSET(Choices!$B$10,0,$C$1),AVERAGE((SUM(U$209,U$216)-SUM(U$249,-U$390,-U$393,U$257,U$267,U$279,U$305,U$310))/(SUM(U$202,U$209,U$216)-SUM(U$245,U$249,-U$390,-U$393,U$257,U$267,U$279,U$305,U$310)),(SUM(V$209,V$216)-SUM(V$249,-V$390,-V$393,V$257,V$267,V$279,V$305,V$310))/(SUM(V$202,V$209,V$216)-SUM(V$245,V$249,-V$390,-V$393,V$257,V$267,V$279,V$305,V$310)),(SUM(W$209,W$216)-SUM(W$249,-W$390,-W$393,W$257,W$267,W$279,W$305,W$310))/(SUM(W$202,W$209,W$216)-SUM(W$245,W$249,-W$390,-W$393,W$257,W$267,W$279,W$305,W$310))),(SUM(W$209,W$216)-SUM(W$249,-W$390,-W$393,W$257,W$267,W$279,W$305,W$310))/(SUM(W$202,W$209,W$216)-SUM(W$245,W$249,-W$390,-W$393,W$257,W$267,W$279,W$305,W$310)))*SUM(X$190,X$364,X$268,X$272,X$275,X$287-X$232,X$295,X$298,X$301,X$306)+SUM(X$249,-X$390,-X$393,X$257,X$267,X$279,X$305,X$310)-SUM(X$209,X$232)</f>
        <v>39.098259217630705</v>
      </c>
      <c r="Y216" s="26">
        <f ca="1">IF(Y$4=OFFSET(Choices!$B$10,0,$C$1),AVERAGE((SUM(V$209,V$216)-SUM(V$249,-V$390,-V$393,V$257,V$267,V$279,V$305,V$310))/(SUM(V$202,V$209,V$216)-SUM(V$245,V$249,-V$390,-V$393,V$257,V$267,V$279,V$305,V$310)),(SUM(W$209,W$216)-SUM(W$249,-W$390,-W$393,W$257,W$267,W$279,W$305,W$310))/(SUM(W$202,W$209,W$216)-SUM(W$245,W$249,-W$390,-W$393,W$257,W$267,W$279,W$305,W$310)),(SUM(X$209,X$216)-SUM(X$249,-X$390,-X$393,X$257,X$267,X$279,X$305,X$310))/(SUM(X$202,X$209,X$216)-SUM(X$245,X$249,-X$390,-X$393,X$257,X$267,X$279,X$305,X$310))),(SUM(X$209,X$216)-SUM(X$249,-X$390,-X$393,X$257,X$267,X$279,X$305,X$310))/(SUM(X$202,X$209,X$216)-SUM(X$245,X$249,-X$390,-X$393,X$257,X$267,X$279,X$305,X$310)))*SUM(Y$190,Y$364,Y$268,Y$272,Y$275,Y$287-Y$232,Y$295,Y$298,Y$301,Y$306)+SUM(Y$249,-Y$390,-Y$393,Y$257,Y$267,Y$279,Y$305,Y$310)-SUM(Y$209,Y$232)</f>
        <v>39.297968744411278</v>
      </c>
      <c r="Z216" s="26">
        <f ca="1">IF(Z$4=OFFSET(Choices!$B$10,0,$C$1),AVERAGE((SUM(W$209,W$216)-SUM(W$249,-W$390,-W$393,W$257,W$267,W$279,W$305,W$310))/(SUM(W$202,W$209,W$216)-SUM(W$245,W$249,-W$390,-W$393,W$257,W$267,W$279,W$305,W$310)),(SUM(X$209,X$216)-SUM(X$249,-X$390,-X$393,X$257,X$267,X$279,X$305,X$310))/(SUM(X$202,X$209,X$216)-SUM(X$245,X$249,-X$390,-X$393,X$257,X$267,X$279,X$305,X$310)),(SUM(Y$209,Y$216)-SUM(Y$249,-Y$390,-Y$393,Y$257,Y$267,Y$279,Y$305,Y$310))/(SUM(Y$202,Y$209,Y$216)-SUM(Y$245,Y$249,-Y$390,-Y$393,Y$257,Y$267,Y$279,Y$305,Y$310))),(SUM(Y$209,Y$216)-SUM(Y$249,-Y$390,-Y$393,Y$257,Y$267,Y$279,Y$305,Y$310))/(SUM(Y$202,Y$209,Y$216)-SUM(Y$245,Y$249,-Y$390,-Y$393,Y$257,Y$267,Y$279,Y$305,Y$310)))*SUM(Z$190,Z$364,Z$268,Z$272,Z$275,Z$287-Z$232,Z$295,Z$298,Z$301,Z$306)+SUM(Z$249,-Z$390,-Z$393,Z$257,Z$267,Z$279,Z$305,Z$310)-SUM(Z$209,Z$232)</f>
        <v>39.507093672098932</v>
      </c>
      <c r="AA216" s="26">
        <f ca="1">IF(AA$4=OFFSET(Choices!$B$10,0,$C$1),AVERAGE((SUM(X$209,X$216)-SUM(X$249,-X$390,-X$393,X$257,X$267,X$279,X$305,X$310))/(SUM(X$202,X$209,X$216)-SUM(X$245,X$249,-X$390,-X$393,X$257,X$267,X$279,X$305,X$310)),(SUM(Y$209,Y$216)-SUM(Y$249,-Y$390,-Y$393,Y$257,Y$267,Y$279,Y$305,Y$310))/(SUM(Y$202,Y$209,Y$216)-SUM(Y$245,Y$249,-Y$390,-Y$393,Y$257,Y$267,Y$279,Y$305,Y$310)),(SUM(Z$209,Z$216)-SUM(Z$249,-Z$390,-Z$393,Z$257,Z$267,Z$279,Z$305,Z$310))/(SUM(Z$202,Z$209,Z$216)-SUM(Z$245,Z$249,-Z$390,-Z$393,Z$257,Z$267,Z$279,Z$305,Z$310))),(SUM(Z$209,Z$216)-SUM(Z$249,-Z$390,-Z$393,Z$257,Z$267,Z$279,Z$305,Z$310))/(SUM(Z$202,Z$209,Z$216)-SUM(Z$245,Z$249,-Z$390,-Z$393,Z$257,Z$267,Z$279,Z$305,Z$310)))*SUM(AA$190,AA$364,AA$268,AA$272,AA$275,AA$287-AA$232,AA$295,AA$298,AA$301,AA$306)+SUM(AA$249,-AA$390,-AA$393,AA$257,AA$267,AA$279,AA$305,AA$310)-SUM(AA$209,AA$232)</f>
        <v>39.721755890006385</v>
      </c>
      <c r="AB216" s="26">
        <f ca="1">IF(AB$4=OFFSET(Choices!$B$10,0,$C$1),AVERAGE((SUM(Y$209,Y$216)-SUM(Y$249,-Y$390,-Y$393,Y$257,Y$267,Y$279,Y$305,Y$310))/(SUM(Y$202,Y$209,Y$216)-SUM(Y$245,Y$249,-Y$390,-Y$393,Y$257,Y$267,Y$279,Y$305,Y$310)),(SUM(Z$209,Z$216)-SUM(Z$249,-Z$390,-Z$393,Z$257,Z$267,Z$279,Z$305,Z$310))/(SUM(Z$202,Z$209,Z$216)-SUM(Z$245,Z$249,-Z$390,-Z$393,Z$257,Z$267,Z$279,Z$305,Z$310)),(SUM(AA$209,AA$216)-SUM(AA$249,-AA$390,-AA$393,AA$257,AA$267,AA$279,AA$305,AA$310))/(SUM(AA$202,AA$209,AA$216)-SUM(AA$245,AA$249,-AA$390,-AA$393,AA$257,AA$267,AA$279,AA$305,AA$310))),(SUM(AA$209,AA$216)-SUM(AA$249,-AA$390,-AA$393,AA$257,AA$267,AA$279,AA$305,AA$310))/(SUM(AA$202,AA$209,AA$216)-SUM(AA$245,AA$249,-AA$390,-AA$393,AA$257,AA$267,AA$279,AA$305,AA$310)))*SUM(AB$190,AB$364,AB$268,AB$272,AB$275,AB$287-AB$232,AB$295,AB$298,AB$301,AB$306)+SUM(AB$249,-AB$390,-AB$393,AB$257,AB$267,AB$279,AB$305,AB$310)-SUM(AB$209,AB$232)</f>
        <v>39.93807662687118</v>
      </c>
      <c r="AC216" s="26">
        <f ca="1">IF(AC$4=OFFSET(Choices!$B$10,0,$C$1),AVERAGE((SUM(Z$209,Z$216)-SUM(Z$249,-Z$390,-Z$393,Z$257,Z$267,Z$279,Z$305,Z$310))/(SUM(Z$202,Z$209,Z$216)-SUM(Z$245,Z$249,-Z$390,-Z$393,Z$257,Z$267,Z$279,Z$305,Z$310)),(SUM(AA$209,AA$216)-SUM(AA$249,-AA$390,-AA$393,AA$257,AA$267,AA$279,AA$305,AA$310))/(SUM(AA$202,AA$209,AA$216)-SUM(AA$245,AA$249,-AA$390,-AA$393,AA$257,AA$267,AA$279,AA$305,AA$310)),(SUM(AB$209,AB$216)-SUM(AB$249,-AB$390,-AB$393,AB$257,AB$267,AB$279,AB$305,AB$310))/(SUM(AB$202,AB$209,AB$216)-SUM(AB$245,AB$249,-AB$390,-AB$393,AB$257,AB$267,AB$279,AB$305,AB$310))),(SUM(AB$209,AB$216)-SUM(AB$249,-AB$390,-AB$393,AB$257,AB$267,AB$279,AB$305,AB$310))/(SUM(AB$202,AB$209,AB$216)-SUM(AB$245,AB$249,-AB$390,-AB$393,AB$257,AB$267,AB$279,AB$305,AB$310)))*SUM(AC$190,AC$364,AC$268,AC$272,AC$275,AC$287-AC$232,AC$295,AC$298,AC$301,AC$306)+SUM(AC$249,-AC$390,-AC$393,AC$257,AC$267,AC$279,AC$305,AC$310)-SUM(AC$209,AC$232)</f>
        <v>40.1612865640287</v>
      </c>
      <c r="AD216" s="26"/>
      <c r="AE216" s="26"/>
    </row>
    <row r="217" spans="1:31" x14ac:dyDescent="0.2">
      <c r="A217" s="3" t="s">
        <v>413</v>
      </c>
      <c r="B217" s="4" t="str">
        <f>$B$46</f>
        <v>From Fiscal Forecasts</v>
      </c>
      <c r="F217" s="21">
        <f>'Fiscal Forecasts'!F$252</f>
        <v>12.452</v>
      </c>
      <c r="G217" s="21">
        <f>'Fiscal Forecasts'!G$252</f>
        <v>14.391</v>
      </c>
      <c r="H217" s="21">
        <f>'Fiscal Forecasts'!H$252</f>
        <v>15.859</v>
      </c>
      <c r="I217" s="21">
        <f>'Fiscal Forecasts'!I$252</f>
        <v>16.853999999999999</v>
      </c>
      <c r="J217" s="21">
        <f>'Fiscal Forecasts'!J$252</f>
        <v>16.367999999999999</v>
      </c>
      <c r="K217" s="21">
        <f>'Fiscal Forecasts'!K$252</f>
        <v>16.321000000000002</v>
      </c>
      <c r="L217" s="21">
        <f>'Fiscal Forecasts'!L$252</f>
        <v>17.065000000000001</v>
      </c>
      <c r="M217" s="21">
        <f>'Fiscal Forecasts'!M$252</f>
        <v>17.262</v>
      </c>
      <c r="N217" s="21">
        <f>'Fiscal Forecasts'!N$252</f>
        <v>17.914000000000001</v>
      </c>
      <c r="O217" s="24">
        <f>'Fiscal Forecasts'!O$252</f>
        <v>18.495000000000001</v>
      </c>
      <c r="P217" s="24">
        <f>'Fiscal Forecasts'!P$252</f>
        <v>18.398</v>
      </c>
      <c r="Q217" s="24">
        <f>'Fiscal Forecasts'!Q$252</f>
        <v>18.239999999999998</v>
      </c>
      <c r="R217" s="24">
        <f>'Fiscal Forecasts'!R$252</f>
        <v>18.114999999999998</v>
      </c>
      <c r="S217" s="24">
        <f>'Fiscal Forecasts'!S$252</f>
        <v>17.966000000000001</v>
      </c>
      <c r="T217" s="26">
        <f ca="1">IF(T$4=OFFSET(Choices!$B$10,0,$C$1),AVERAGE(SUM(Q$210,Q$217)/SUM(Q$203-(Q$246-Q$245),Q$210,Q$217),SUM(R$210,R$217)/SUM(R$203-(R$246-R$245),R$210,R$217),SUM(S$210,S$217)/SUM(S$203-(S$246-S$245),S$210,S$217)),SUM(S$210,S$217)/SUM(S$203-(S$246-S$245),S$210,S$217))*SUM(T$192-T$233,T$250,T$259,T$280,T$291-(T$246-T$245))-T$210</f>
        <v>18.529424946304125</v>
      </c>
      <c r="U217" s="26">
        <f ca="1">IF(U$4=OFFSET(Choices!$B$10,0,$C$1),AVERAGE(SUM(R$210,R$217)/SUM(R$203-(R$246-R$245),R$210,R$217),SUM(S$210,S$217)/SUM(S$203-(S$246-S$245),S$210,S$217),SUM(T$210,T$217)/SUM(T$203-(T$246-T$245),T$210,T$217)),SUM(T$210,T$217)/SUM(T$203-(T$246-T$245),T$210,T$217))*SUM(U$192-U$233,U$250,U$259,U$280,U$291-(U$246-U$245))-U$210</f>
        <v>18.795781000997792</v>
      </c>
      <c r="V217" s="26">
        <f ca="1">IF(V$4=OFFSET(Choices!$B$10,0,$C$1),AVERAGE(SUM(S$210,S$217)/SUM(S$203-(S$246-S$245),S$210,S$217),SUM(T$210,T$217)/SUM(T$203-(T$246-T$245),T$210,T$217),SUM(U$210,U$217)/SUM(U$203-(U$246-U$245),U$210,U$217)),SUM(U$210,U$217)/SUM(U$203-(U$246-U$245),U$210,U$217))*SUM(V$192-V$233,V$250,V$259,V$280,V$291-(V$246-V$245))-V$210</f>
        <v>19.0747544924136</v>
      </c>
      <c r="W217" s="26">
        <f ca="1">IF(W$4=OFFSET(Choices!$B$10,0,$C$1),AVERAGE(SUM(T$210,T$217)/SUM(T$203-(T$246-T$245),T$210,T$217),SUM(U$210,U$217)/SUM(U$203-(U$246-U$245),U$210,U$217),SUM(V$210,V$217)/SUM(V$203-(V$246-V$245),V$210,V$217)),SUM(V$210,V$217)/SUM(V$203-(V$246-V$245),V$210,V$217))*SUM(W$192-W$233,W$250,W$259,W$280,W$291-(W$246-W$245))-W$210</f>
        <v>19.364474679600651</v>
      </c>
      <c r="X217" s="26">
        <f ca="1">IF(X$4=OFFSET(Choices!$B$10,0,$C$1),AVERAGE(SUM(U$210,U$217)/SUM(U$203-(U$246-U$245),U$210,U$217),SUM(V$210,V$217)/SUM(V$203-(V$246-V$245),V$210,V$217),SUM(W$210,W$217)/SUM(W$203-(W$246-W$245),W$210,W$217)),SUM(W$210,W$217)/SUM(W$203-(W$246-W$245),W$210,W$217))*SUM(X$192-X$233,X$250,X$259,X$280,X$291-(X$246-X$245))-X$210</f>
        <v>19.663648695493844</v>
      </c>
      <c r="Y217" s="26">
        <f ca="1">IF(Y$4=OFFSET(Choices!$B$10,0,$C$1),AVERAGE(SUM(V$210,V$217)/SUM(V$203-(V$246-V$245),V$210,V$217),SUM(W$210,W$217)/SUM(W$203-(W$246-W$245),W$210,W$217),SUM(X$210,X$217)/SUM(X$203-(X$246-X$245),X$210,X$217)),SUM(X$210,X$217)/SUM(X$203-(X$246-X$245),X$210,X$217))*SUM(Y$192-Y$233,Y$250,Y$259,Y$280,Y$291-(Y$246-Y$245))-Y$210</f>
        <v>19.969377911922429</v>
      </c>
      <c r="Z217" s="26">
        <f ca="1">IF(Z$4=OFFSET(Choices!$B$10,0,$C$1),AVERAGE(SUM(W$210,W$217)/SUM(W$203-(W$246-W$245),W$210,W$217),SUM(X$210,X$217)/SUM(X$203-(X$246-X$245),X$210,X$217),SUM(Y$210,Y$217)/SUM(Y$203-(Y$246-Y$245),Y$210,Y$217)),SUM(Y$210,Y$217)/SUM(Y$203-(Y$246-Y$245),Y$210,Y$217))*SUM(Z$192-Z$233,Z$250,Z$259,Z$280,Z$291-(Z$246-Z$245))-Z$210</f>
        <v>20.28066382105095</v>
      </c>
      <c r="AA217" s="26">
        <f ca="1">IF(AA$4=OFFSET(Choices!$B$10,0,$C$1),AVERAGE(SUM(X$210,X$217)/SUM(X$203-(X$246-X$245),X$210,X$217),SUM(Y$210,Y$217)/SUM(Y$203-(Y$246-Y$245),Y$210,Y$217),SUM(Z$210,Z$217)/SUM(Z$203-(Z$246-Z$245),Z$210,Z$217)),SUM(Z$210,Z$217)/SUM(Z$203-(Z$246-Z$245),Z$210,Z$217))*SUM(AA$192-AA$233,AA$250,AA$259,AA$280,AA$291-(AA$246-AA$245))-AA$210</f>
        <v>20.598097687450174</v>
      </c>
      <c r="AB217" s="26">
        <f ca="1">IF(AB$4=OFFSET(Choices!$B$10,0,$C$1),AVERAGE(SUM(Y$210,Y$217)/SUM(Y$203-(Y$246-Y$245),Y$210,Y$217),SUM(Z$210,Z$217)/SUM(Z$203-(Z$246-Z$245),Z$210,Z$217),SUM(AA$210,AA$217)/SUM(AA$203-(AA$246-AA$245),AA$210,AA$217)),SUM(AA$210,AA$217)/SUM(AA$203-(AA$246-AA$245),AA$210,AA$217))*SUM(AB$192-AB$233,AB$250,AB$259,AB$280,AB$291-(AB$246-AB$245))-AB$210</f>
        <v>20.918174947482441</v>
      </c>
      <c r="AC217" s="26">
        <f ca="1">IF(AC$4=OFFSET(Choices!$B$10,0,$C$1),AVERAGE(SUM(Z$210,Z$217)/SUM(Z$203-(Z$246-Z$245),Z$210,Z$217),SUM(AA$210,AA$217)/SUM(AA$203-(AA$246-AA$245),AA$210,AA$217),SUM(AB$210,AB$217)/SUM(AB$203-(AB$246-AB$245),AB$210,AB$217)),SUM(AB$210,AB$217)/SUM(AB$203-(AB$246-AB$245),AB$210,AB$217))*SUM(AC$192-AC$233,AC$250,AC$259,AC$280,AC$291-(AC$246-AC$245))-AC$210</f>
        <v>21.244683134402212</v>
      </c>
      <c r="AD217" s="26"/>
      <c r="AE217" s="26"/>
    </row>
    <row r="218" spans="1:31" x14ac:dyDescent="0.2">
      <c r="A218" s="3" t="s">
        <v>414</v>
      </c>
      <c r="B218" s="4" t="str">
        <f>$B$46</f>
        <v>From Fiscal Forecasts</v>
      </c>
      <c r="F218" s="21">
        <f>'Fiscal Forecasts'!F$253</f>
        <v>7.3630000000000004</v>
      </c>
      <c r="G218" s="21">
        <f>'Fiscal Forecasts'!G$253</f>
        <v>9.8529999999999998</v>
      </c>
      <c r="H218" s="21">
        <f>'Fiscal Forecasts'!H$253</f>
        <v>8.9139999999999997</v>
      </c>
      <c r="I218" s="21">
        <f>'Fiscal Forecasts'!I$253</f>
        <v>8.2059999999999995</v>
      </c>
      <c r="J218" s="21">
        <f>'Fiscal Forecasts'!J$253</f>
        <v>8.125</v>
      </c>
      <c r="K218" s="21">
        <f>'Fiscal Forecasts'!K$253</f>
        <v>9.8019999999999996</v>
      </c>
      <c r="L218" s="21">
        <f>'Fiscal Forecasts'!L$253</f>
        <v>9.6890000000000001</v>
      </c>
      <c r="M218" s="21">
        <f>'Fiscal Forecasts'!M$253</f>
        <v>9.0419999999999998</v>
      </c>
      <c r="N218" s="21">
        <f>'Fiscal Forecasts'!N$253</f>
        <v>9.3330000000000002</v>
      </c>
      <c r="O218" s="24">
        <f>'Fiscal Forecasts'!O$253</f>
        <v>9.1180000000000003</v>
      </c>
      <c r="P218" s="24">
        <f>'Fiscal Forecasts'!P$253</f>
        <v>9.6069999999999993</v>
      </c>
      <c r="Q218" s="24">
        <f>'Fiscal Forecasts'!Q$253</f>
        <v>10.057</v>
      </c>
      <c r="R218" s="24">
        <f>'Fiscal Forecasts'!R$253</f>
        <v>10.164</v>
      </c>
      <c r="S218" s="24">
        <f>'Fiscal Forecasts'!S$253</f>
        <v>10.355</v>
      </c>
      <c r="T218" s="26">
        <f ca="1">IF(T$4=OFFSET(Choices!$B$10,0,$C$1),AVERAGE(SUM(Q$211,Q$218)/SUM(Q$204,Q$211,Q$218),SUM(R$211,R$218)/SUM(R$204,R$211,R$218),SUM(S$211,S$218)/SUM(S$204,S$211,S$218)),SUM(S$211,S$218)/SUM(S$204,S$211,S$218))*SUM(T$260,T$281,T$292-T$234)-T$211</f>
        <v>11.134570813289303</v>
      </c>
      <c r="U218" s="26">
        <f ca="1">IF(U$4=OFFSET(Choices!$B$10,0,$C$1),AVERAGE(SUM(R$211,R$218)/SUM(R$204,R$211,R$218),SUM(S$211,S$218)/SUM(S$204,S$211,S$218),SUM(T$211,T$218)/SUM(T$204,T$211,T$218)),SUM(T$211,T$218)/SUM(T$204,T$211,T$218))*SUM(U$260,U$281,U$292-U$234)-U$211</f>
        <v>11.691052886489233</v>
      </c>
      <c r="V218" s="26">
        <f ca="1">IF(V$4=OFFSET(Choices!$B$10,0,$C$1),AVERAGE(SUM(S$211,S$218)/SUM(S$204,S$211,S$218),SUM(T$211,T$218)/SUM(T$204,T$211,T$218),SUM(U$211,U$218)/SUM(U$204,U$211,U$218)),SUM(U$211,U$218)/SUM(U$204,U$211,U$218))*SUM(V$260,V$281,V$292-V$234)-V$211</f>
        <v>12.277699827124792</v>
      </c>
      <c r="W218" s="26">
        <f ca="1">IF(W$4=OFFSET(Choices!$B$10,0,$C$1),AVERAGE(SUM(T$211,T$218)/SUM(T$204,T$211,T$218),SUM(U$211,U$218)/SUM(U$204,U$211,U$218),SUM(V$211,V$218)/SUM(V$204,V$211,V$218)),SUM(V$211,V$218)/SUM(V$204,V$211,V$218))*SUM(W$260,W$281,W$292-W$234)-W$211</f>
        <v>12.883980238149286</v>
      </c>
      <c r="X218" s="26">
        <f ca="1">IF(X$4=OFFSET(Choices!$B$10,0,$C$1),AVERAGE(SUM(U$211,U$218)/SUM(U$204,U$211,U$218),SUM(V$211,V$218)/SUM(V$204,V$211,V$218),SUM(W$211,W$218)/SUM(W$204,W$211,W$218)),SUM(W$211,W$218)/SUM(W$204,W$211,W$218))*SUM(X$260,X$281,X$292-X$234)-X$211</f>
        <v>13.513319428229666</v>
      </c>
      <c r="Y218" s="26">
        <f ca="1">IF(Y$4=OFFSET(Choices!$B$10,0,$C$1),AVERAGE(SUM(V$211,V$218)/SUM(V$204,V$211,V$218),SUM(W$211,W$218)/SUM(W$204,W$211,W$218),SUM(X$211,X$218)/SUM(X$204,X$211,X$218)),SUM(X$211,X$218)/SUM(X$204,X$211,X$218))*SUM(Y$260,Y$281,Y$292-Y$234)-Y$211</f>
        <v>14.160872333977055</v>
      </c>
      <c r="Z218" s="26">
        <f ca="1">IF(Z$4=OFFSET(Choices!$B$10,0,$C$1),AVERAGE(SUM(W$211,W$218)/SUM(W$204,W$211,W$218),SUM(X$211,X$218)/SUM(X$204,X$211,X$218),SUM(Y$211,Y$218)/SUM(Y$204,Y$211,Y$218)),SUM(Y$211,Y$218)/SUM(Y$204,Y$211,Y$218))*SUM(Z$260,Z$281,Z$292-Z$234)-Z$211</f>
        <v>14.825271347554509</v>
      </c>
      <c r="AA218" s="26">
        <f ca="1">IF(AA$4=OFFSET(Choices!$B$10,0,$C$1),AVERAGE(SUM(X$211,X$218)/SUM(X$204,X$211,X$218),SUM(Y$211,Y$218)/SUM(Y$204,Y$211,Y$218),SUM(Z$211,Z$218)/SUM(Z$204,Z$211,Z$218)),SUM(Z$211,Z$218)/SUM(Z$204,Z$211,Z$218))*SUM(AA$260,AA$281,AA$292-AA$234)-AA$211</f>
        <v>15.506978602644319</v>
      </c>
      <c r="AB218" s="26">
        <f ca="1">IF(AB$4=OFFSET(Choices!$B$10,0,$C$1),AVERAGE(SUM(Y$211,Y$218)/SUM(Y$204,Y$211,Y$218),SUM(Z$211,Z$218)/SUM(Z$204,Z$211,Z$218),SUM(AA$211,AA$218)/SUM(AA$204,AA$211,AA$218)),SUM(AA$211,AA$218)/SUM(AA$204,AA$211,AA$218))*SUM(AB$260,AB$281,AB$292-AB$234)-AB$211</f>
        <v>16.203222931937461</v>
      </c>
      <c r="AC218" s="26">
        <f ca="1">IF(AC$4=OFFSET(Choices!$B$10,0,$C$1),AVERAGE(SUM(Z$211,Z$218)/SUM(Z$204,Z$211,Z$218),SUM(AA$211,AA$218)/SUM(AA$204,AA$211,AA$218),SUM(AB$211,AB$218)/SUM(AB$204,AB$211,AB$218)),SUM(AB$211,AB$218)/SUM(AB$204,AB$211,AB$218))*SUM(AC$260,AC$281,AC$292-AC$234)-AC$211</f>
        <v>16.91782423949207</v>
      </c>
      <c r="AD218" s="26"/>
      <c r="AE218" s="26"/>
    </row>
    <row r="219" spans="1:31" x14ac:dyDescent="0.2">
      <c r="A219" s="3" t="s">
        <v>415</v>
      </c>
      <c r="B219" s="4" t="str">
        <f>$B$46</f>
        <v>From Fiscal Forecasts</v>
      </c>
      <c r="F219" s="21">
        <f>'Fiscal Forecasts'!F$254</f>
        <v>-20.923999999999999</v>
      </c>
      <c r="G219" s="21">
        <f>'Fiscal Forecasts'!G$254</f>
        <v>-22.806999999999999</v>
      </c>
      <c r="H219" s="21">
        <f>'Fiscal Forecasts'!H$254</f>
        <v>-24.303999999999998</v>
      </c>
      <c r="I219" s="21">
        <f>'Fiscal Forecasts'!I$254</f>
        <v>-26.544</v>
      </c>
      <c r="J219" s="21">
        <f>'Fiscal Forecasts'!J$254</f>
        <v>-26.117999999999999</v>
      </c>
      <c r="K219" s="21">
        <f>'Fiscal Forecasts'!K$254</f>
        <v>-26.321000000000002</v>
      </c>
      <c r="L219" s="21">
        <f>'Fiscal Forecasts'!L$254</f>
        <v>-27.155999999999999</v>
      </c>
      <c r="M219" s="21">
        <f>'Fiscal Forecasts'!M$254</f>
        <v>-27.565000000000001</v>
      </c>
      <c r="N219" s="21">
        <f>'Fiscal Forecasts'!N$254</f>
        <v>-28.195</v>
      </c>
      <c r="O219" s="24">
        <f>'Fiscal Forecasts'!O$254</f>
        <v>-29.058</v>
      </c>
      <c r="P219" s="24">
        <f>'Fiscal Forecasts'!P$254</f>
        <v>-29.262</v>
      </c>
      <c r="Q219" s="24">
        <f>'Fiscal Forecasts'!Q$254</f>
        <v>-29.34</v>
      </c>
      <c r="R219" s="24">
        <f>'Fiscal Forecasts'!R$254</f>
        <v>-29.425000000000001</v>
      </c>
      <c r="S219" s="24">
        <f>'Fiscal Forecasts'!S$254</f>
        <v>-29.523</v>
      </c>
      <c r="T219" s="26">
        <f ca="1">IF(T$4=OFFSET(Choices!$B$10,0,$C$1),AVERAGE(SUM(Q$212,Q$219)/SUM(Q$205,Q$212,Q$219),SUM(R$212,R$219)/SUM(R$205,R$212,R$219),SUM(S$212,S$219)/SUM(S$205,S$212,S$219)),SUM(S$212,S$219)/SUM(S$205,S$212,S$219))*SUM(T$193,T$251,T$261,T$282,T$293-T$235)-T$212</f>
        <v>-29.908080697245801</v>
      </c>
      <c r="U219" s="26">
        <f ca="1">IF(U$4=OFFSET(Choices!$B$10,0,$C$1),AVERAGE(SUM(R$212,R$219)/SUM(R$205,R$212,R$219),SUM(S$212,S$219)/SUM(S$205,S$212,S$219),SUM(T$212,T$219)/SUM(T$205,T$212,T$219)),SUM(T$212,T$219)/SUM(T$205,T$212,T$219))*SUM(U$193,U$251,U$261,U$282,U$293-U$235)-U$212</f>
        <v>-30.223283113333522</v>
      </c>
      <c r="V219" s="26">
        <f ca="1">IF(V$4=OFFSET(Choices!$B$10,0,$C$1),AVERAGE(SUM(S$212,S$219)/SUM(S$205,S$212,S$219),SUM(T$212,T$219)/SUM(T$205,T$212,T$219),SUM(U$212,U$219)/SUM(U$205,U$212,U$219)),SUM(U$212,U$219)/SUM(U$205,U$212,U$219))*SUM(V$193,V$251,V$261,V$282,V$293-V$235)-V$212</f>
        <v>-30.555679955105692</v>
      </c>
      <c r="W219" s="26">
        <f ca="1">IF(W$4=OFFSET(Choices!$B$10,0,$C$1),AVERAGE(SUM(T$212,T$219)/SUM(T$205,T$212,T$219),SUM(U$212,U$219)/SUM(U$205,U$212,U$219),SUM(V$212,V$219)/SUM(V$205,V$212,V$219)),SUM(V$212,V$219)/SUM(V$205,V$212,V$219))*SUM(W$193,W$251,W$261,W$282,W$293-W$235)-W$212</f>
        <v>-30.906583367027491</v>
      </c>
      <c r="X219" s="26">
        <f ca="1">IF(X$4=OFFSET(Choices!$B$10,0,$C$1),AVERAGE(SUM(U$212,U$219)/SUM(U$205,U$212,U$219),SUM(V$212,V$219)/SUM(V$205,V$212,V$219),SUM(W$212,W$219)/SUM(W$205,W$212,W$219)),SUM(W$212,W$219)/SUM(W$205,W$212,W$219))*SUM(X$193,X$251,X$261,X$282,X$293-X$235)-X$212</f>
        <v>-31.272325159241596</v>
      </c>
      <c r="Y219" s="26">
        <f ca="1">IF(Y$4=OFFSET(Choices!$B$10,0,$C$1),AVERAGE(SUM(V$212,V$219)/SUM(V$205,V$212,V$219),SUM(W$212,W$219)/SUM(W$205,W$212,W$219),SUM(X$212,X$219)/SUM(X$205,X$212,X$219)),SUM(X$212,X$219)/SUM(X$205,X$212,X$219))*SUM(Y$193,Y$251,Y$261,Y$282,Y$293-Y$235)-Y$212</f>
        <v>-31.649582686598848</v>
      </c>
      <c r="Z219" s="26">
        <f ca="1">IF(Z$4=OFFSET(Choices!$B$10,0,$C$1),AVERAGE(SUM(W$212,W$219)/SUM(W$205,W$212,W$219),SUM(X$212,X$219)/SUM(X$205,X$212,X$219),SUM(Y$212,Y$219)/SUM(Y$205,Y$212,Y$219)),SUM(Y$212,Y$219)/SUM(Y$205,Y$212,Y$219))*SUM(Z$193,Z$251,Z$261,Z$282,Z$293-Z$235)-Z$212</f>
        <v>-32.033179259832828</v>
      </c>
      <c r="AA219" s="26">
        <f ca="1">IF(AA$4=OFFSET(Choices!$B$10,0,$C$1),AVERAGE(SUM(X$212,X$219)/SUM(X$205,X$212,X$219),SUM(Y$212,Y$219)/SUM(Y$205,Y$212,Y$219),SUM(Z$212,Z$219)/SUM(Z$205,Z$212,Z$219)),SUM(Z$212,Z$219)/SUM(Z$205,Z$212,Z$219))*SUM(AA$193,AA$251,AA$261,AA$282,AA$293-AA$235)-AA$212</f>
        <v>-32.426154096385382</v>
      </c>
      <c r="AB219" s="26">
        <f ca="1">IF(AB$4=OFFSET(Choices!$B$10,0,$C$1),AVERAGE(SUM(Y$212,Y$219)/SUM(Y$205,Y$212,Y$219),SUM(Z$212,Z$219)/SUM(Z$205,Z$212,Z$219),SUM(AA$212,AA$219)/SUM(AA$205,AA$212,AA$219)),SUM(AA$212,AA$219)/SUM(AA$205,AA$212,AA$219))*SUM(AB$193,AB$251,AB$261,AB$282,AB$293-AB$235)-AB$212</f>
        <v>-32.823608461482387</v>
      </c>
      <c r="AC219" s="26">
        <f ca="1">IF(AC$4=OFFSET(Choices!$B$10,0,$C$1),AVERAGE(SUM(Z$212,Z$219)/SUM(Z$205,Z$212,Z$219),SUM(AA$212,AA$219)/SUM(AA$205,AA$212,AA$219),SUM(AB$212,AB$219)/SUM(AB$205,AB$212,AB$219)),SUM(AB$212,AB$219)/SUM(AB$205,AB$212,AB$219))*SUM(AC$193,AC$251,AC$261,AC$282,AC$293-AC$235)-AC$212</f>
        <v>-33.23056731470183</v>
      </c>
      <c r="AD219" s="26"/>
      <c r="AE219" s="26"/>
    </row>
    <row r="220" spans="1:31" x14ac:dyDescent="0.2">
      <c r="A220" s="31" t="s">
        <v>486</v>
      </c>
      <c r="F220" s="56">
        <f>SUM(F$216:F$219)</f>
        <v>27.841999999999999</v>
      </c>
      <c r="G220" s="56">
        <f t="shared" ref="G220:AC220" si="145">SUM(G$216:G$219)</f>
        <v>30.656000000000002</v>
      </c>
      <c r="H220" s="56">
        <f t="shared" si="145"/>
        <v>34.116</v>
      </c>
      <c r="I220" s="56">
        <f t="shared" si="145"/>
        <v>31.338000000000005</v>
      </c>
      <c r="J220" s="56">
        <f t="shared" si="145"/>
        <v>35.829000000000008</v>
      </c>
      <c r="K220" s="56">
        <f t="shared" si="145"/>
        <v>35.677999999999997</v>
      </c>
      <c r="L220" s="56">
        <f t="shared" si="145"/>
        <v>36.162999999999997</v>
      </c>
      <c r="M220" s="56">
        <f t="shared" si="145"/>
        <v>35.224999999999994</v>
      </c>
      <c r="N220" s="56">
        <f t="shared" si="145"/>
        <v>35.910000000000004</v>
      </c>
      <c r="O220" s="57">
        <f t="shared" si="145"/>
        <v>37.78799999999999</v>
      </c>
      <c r="P220" s="57">
        <f t="shared" si="145"/>
        <v>37.370000000000005</v>
      </c>
      <c r="Q220" s="57">
        <f t="shared" si="145"/>
        <v>37.685000000000002</v>
      </c>
      <c r="R220" s="57">
        <f t="shared" si="145"/>
        <v>37.486000000000004</v>
      </c>
      <c r="S220" s="57">
        <f t="shared" si="145"/>
        <v>37.489000000000004</v>
      </c>
      <c r="T220" s="58">
        <f t="shared" ca="1" si="145"/>
        <v>38.142429801585529</v>
      </c>
      <c r="U220" s="58">
        <f t="shared" ca="1" si="145"/>
        <v>38.808162456557199</v>
      </c>
      <c r="V220" s="58">
        <f t="shared" ca="1" si="145"/>
        <v>39.517048405061871</v>
      </c>
      <c r="W220" s="58">
        <f t="shared" ca="1" si="145"/>
        <v>40.243095425330537</v>
      </c>
      <c r="X220" s="58">
        <f t="shared" ca="1" si="145"/>
        <v>41.002902182112614</v>
      </c>
      <c r="Y220" s="58">
        <f t="shared" ca="1" si="145"/>
        <v>41.77863630371192</v>
      </c>
      <c r="Z220" s="58">
        <f t="shared" ca="1" si="145"/>
        <v>42.57984958087156</v>
      </c>
      <c r="AA220" s="58">
        <f t="shared" ca="1" si="145"/>
        <v>43.400678083715498</v>
      </c>
      <c r="AB220" s="58">
        <f t="shared" ca="1" si="145"/>
        <v>44.235866044808695</v>
      </c>
      <c r="AC220" s="58">
        <f t="shared" ca="1" si="145"/>
        <v>45.093226623221142</v>
      </c>
      <c r="AD220" s="26"/>
      <c r="AE220" s="26"/>
    </row>
    <row r="221" spans="1:31" x14ac:dyDescent="0.2">
      <c r="AD221" s="26"/>
      <c r="AE221" s="26"/>
    </row>
    <row r="222" spans="1:31" x14ac:dyDescent="0.2">
      <c r="A222" s="31" t="s">
        <v>233</v>
      </c>
      <c r="AD222" s="26"/>
      <c r="AE222" s="26"/>
    </row>
    <row r="223" spans="1:31" x14ac:dyDescent="0.2">
      <c r="A223" s="3" t="s">
        <v>412</v>
      </c>
      <c r="B223" s="4" t="str">
        <f>$B$46</f>
        <v>From Fiscal Forecasts</v>
      </c>
      <c r="F223" s="21">
        <f>'Fiscal Forecasts'!F$257</f>
        <v>2.33</v>
      </c>
      <c r="G223" s="21">
        <f>'Fiscal Forecasts'!G$257</f>
        <v>2.46</v>
      </c>
      <c r="H223" s="21">
        <f>'Fiscal Forecasts'!H$257</f>
        <v>2.4289999999999998</v>
      </c>
      <c r="I223" s="21">
        <f>'Fiscal Forecasts'!I$257</f>
        <v>2.3109999999999999</v>
      </c>
      <c r="J223" s="21">
        <f>'Fiscal Forecasts'!J$257</f>
        <v>3.0659999999999998</v>
      </c>
      <c r="K223" s="21">
        <f>'Fiscal Forecasts'!K$257</f>
        <v>3.5110000000000001</v>
      </c>
      <c r="L223" s="21">
        <f>'Fiscal Forecasts'!L$257</f>
        <v>3.62</v>
      </c>
      <c r="M223" s="21">
        <f>'Fiscal Forecasts'!M$257</f>
        <v>3.62</v>
      </c>
      <c r="N223" s="21">
        <f>'Fiscal Forecasts'!N$257 +IF($D$2="Yes",'Fiscal Forecast Adjuster'!E$35,0)/1000 +IF($D$3="Yes",'NZS Fund Adjuster'!N$10,0)</f>
        <v>3.7829999999999999</v>
      </c>
      <c r="O223" s="24">
        <f>'Fiscal Forecasts'!O$257 +IF($D$2="Yes",'Fiscal Forecast Adjuster'!F$35,0)/1000 +IF($D$3="Yes",'NZS Fund Adjuster'!O$10,0)</f>
        <v>3.6560000000000001</v>
      </c>
      <c r="P223" s="24">
        <f>'Fiscal Forecasts'!P$257 +IF($D$2="Yes",'Fiscal Forecast Adjuster'!G$35,0)/1000 +IF($D$3="Yes",'NZS Fund Adjuster'!P$10,0)</f>
        <v>3.9460000000000002</v>
      </c>
      <c r="Q223" s="24">
        <f>'Fiscal Forecasts'!Q$257 +IF($D$2="Yes",'Fiscal Forecast Adjuster'!H$35,0)/1000 +IF($D$3="Yes",'NZS Fund Adjuster'!Q$10,0)</f>
        <v>4.0510000000000002</v>
      </c>
      <c r="R223" s="24">
        <f>'Fiscal Forecasts'!R$257 +IF($D$2="Yes",'Fiscal Forecast Adjuster'!I$35,0)/1000 +IF($D$3="Yes",'NZS Fund Adjuster'!R$10,0)</f>
        <v>4.22</v>
      </c>
      <c r="S223" s="24">
        <f>'Fiscal Forecasts'!S$257 +IF($D$2="Yes",'Fiscal Forecast Adjuster'!J$35,0)/1000 +IF($D$3="Yes",'NZS Fund Adjuster'!S$10,0)</f>
        <v>4.3310000000000004</v>
      </c>
      <c r="T223" s="26">
        <f t="shared" ref="T223:AC223" ca="1" si="146">T$228*(S$85+(T$345-S$345-SUM(T$456-T$363,T$457,T$458+T$362-(T$348-S$348),T$459)+SUM(-T$460,-T$461+T$364-(T$427-S$427),-S$462,T$241,T$243)-SUM(T$481,T$424-S$424)+S$223-(-S$462))/2)</f>
        <v>4.4754078061880529</v>
      </c>
      <c r="U223" s="26">
        <f t="shared" ca="1" si="146"/>
        <v>4.5244827244747166</v>
      </c>
      <c r="V223" s="26">
        <f t="shared" ca="1" si="146"/>
        <v>4.576776877413284</v>
      </c>
      <c r="W223" s="26">
        <f t="shared" ca="1" si="146"/>
        <v>4.638023984772965</v>
      </c>
      <c r="X223" s="26">
        <f t="shared" ca="1" si="146"/>
        <v>4.63482216804928</v>
      </c>
      <c r="Y223" s="26">
        <f t="shared" ca="1" si="146"/>
        <v>4.5579193961615205</v>
      </c>
      <c r="Z223" s="26">
        <f t="shared" ca="1" si="146"/>
        <v>4.3940491661378962</v>
      </c>
      <c r="AA223" s="26">
        <f t="shared" ca="1" si="146"/>
        <v>4.0172392954677232</v>
      </c>
      <c r="AB223" s="26">
        <f t="shared" ca="1" si="146"/>
        <v>3.5415961998661158</v>
      </c>
      <c r="AC223" s="26">
        <f t="shared" ca="1" si="146"/>
        <v>2.9623020037671819</v>
      </c>
      <c r="AD223" s="26"/>
      <c r="AE223" s="26"/>
    </row>
    <row r="224" spans="1:31" x14ac:dyDescent="0.2">
      <c r="A224" s="3" t="s">
        <v>413</v>
      </c>
      <c r="B224" s="4" t="str">
        <f>$B$46</f>
        <v>From Fiscal Forecasts</v>
      </c>
      <c r="F224" s="21">
        <f>'Fiscal Forecasts'!F$258</f>
        <v>0.26500000000000001</v>
      </c>
      <c r="G224" s="21">
        <f>'Fiscal Forecasts'!G$258</f>
        <v>0.248</v>
      </c>
      <c r="H224" s="21">
        <f>'Fiscal Forecasts'!H$258</f>
        <v>0.185</v>
      </c>
      <c r="I224" s="21">
        <f>'Fiscal Forecasts'!I$258</f>
        <v>0.245</v>
      </c>
      <c r="J224" s="21">
        <f>'Fiscal Forecasts'!J$258</f>
        <v>0.248</v>
      </c>
      <c r="K224" s="21">
        <f>'Fiscal Forecasts'!K$258</f>
        <v>0.246</v>
      </c>
      <c r="L224" s="21">
        <f>'Fiscal Forecasts'!L$258</f>
        <v>0.23499999999999999</v>
      </c>
      <c r="M224" s="21">
        <f>'Fiscal Forecasts'!M$258</f>
        <v>0.219</v>
      </c>
      <c r="N224" s="21">
        <f>'Fiscal Forecasts'!N$258</f>
        <v>0.221</v>
      </c>
      <c r="O224" s="24">
        <f>'Fiscal Forecasts'!O$258</f>
        <v>0.22</v>
      </c>
      <c r="P224" s="24">
        <f>'Fiscal Forecasts'!P$258</f>
        <v>0.222</v>
      </c>
      <c r="Q224" s="24">
        <f>'Fiscal Forecasts'!Q$258</f>
        <v>0.23200000000000001</v>
      </c>
      <c r="R224" s="24">
        <f>'Fiscal Forecasts'!R$258</f>
        <v>0.24</v>
      </c>
      <c r="S224" s="24">
        <f>'Fiscal Forecasts'!S$258</f>
        <v>0.246</v>
      </c>
      <c r="T224" s="26">
        <f ca="1">IF(T$4=OFFSET(Choices!$B$10,0,$C$1),AVERAGE(Q$224/SUM(Q$224:Q$226),R$224/SUM(R$224:R$226),S$224/SUM(S$224:S$226)),S$224/SUM(S$224:S$226))*(T$229*(S$84+(T$346-S$346-SUM(T$100,T$111,T$112,T$114)+SUM(T$101,T$102,S$103,T$241,T$243)+S$227-S$103)/2)-T$223)</f>
        <v>0.25211699428748757</v>
      </c>
      <c r="U224" s="26">
        <f ca="1">IF(U$4=OFFSET(Choices!$B$10,0,$C$1),AVERAGE(R$224/SUM(R$224:R$226),S$224/SUM(S$224:S$226),T$224/SUM(T$224:T$226)),T$224/SUM(T$224:T$226))*(U$229*(T$84+(U$346-T$346-SUM(U$100,U$111,U$112,U$114)+SUM(U$101,U$102,T$103,U$241,U$243)+T$227-T$103)/2)-U$223)</f>
        <v>0.25097772395862472</v>
      </c>
      <c r="V224" s="26">
        <f ca="1">IF(V$4=OFFSET(Choices!$B$10,0,$C$1),AVERAGE(S$224/SUM(S$224:S$226),T$224/SUM(T$224:T$226),U$224/SUM(U$224:U$226)),U$224/SUM(U$224:U$226))*(V$229*(U$84+(V$346-U$346-SUM(V$100,V$111,V$112,V$114)+SUM(V$101,V$102,U$103,V$241,V$243)+U$227-U$103)/2)-V$223)</f>
        <v>0.24946384855195303</v>
      </c>
      <c r="W224" s="26">
        <f ca="1">IF(W$4=OFFSET(Choices!$B$10,0,$C$1),AVERAGE(T$224/SUM(T$224:T$226),U$224/SUM(U$224:U$226),V$224/SUM(V$224:V$226)),V$224/SUM(V$224:V$226))*(W$229*(V$84+(W$346-V$346-SUM(W$100,W$111,W$112,W$114)+SUM(W$101,W$102,V$103,W$241,W$243)+V$227-V$103)/2)-W$223)</f>
        <v>0.24844656152927566</v>
      </c>
      <c r="X224" s="26">
        <f ca="1">IF(X$4=OFFSET(Choices!$B$10,0,$C$1),AVERAGE(U$224/SUM(U$224:U$226),V$224/SUM(V$224:V$226),W$224/SUM(W$224:W$226)),W$224/SUM(W$224:W$226))*(X$229*(W$84+(X$346-W$346-SUM(X$100,X$111,X$112,X$114)+SUM(X$101,X$102,W$103,X$241,X$243)+W$227-W$103)/2)-X$223)</f>
        <v>0.24817706504843426</v>
      </c>
      <c r="Y224" s="26">
        <f ca="1">IF(Y$4=OFFSET(Choices!$B$10,0,$C$1),AVERAGE(V$224/SUM(V$224:V$226),W$224/SUM(W$224:W$226),X$224/SUM(X$224:X$226)),X$224/SUM(X$224:X$226))*(Y$229*(X$84+(Y$346-X$346-SUM(Y$100,Y$111,Y$112,Y$114)+SUM(Y$101,Y$102,X$103,Y$241,Y$243)+X$227-X$103)/2)-Y$223)</f>
        <v>0.24944799076707908</v>
      </c>
      <c r="Z224" s="26">
        <f ca="1">IF(Z$4=OFFSET(Choices!$B$10,0,$C$1),AVERAGE(W$224/SUM(W$224:W$226),X$224/SUM(X$224:X$226),Y$224/SUM(Y$224:Y$226)),Y$224/SUM(Y$224:Y$226))*(Z$229*(Y$84+(Z$346-Y$346-SUM(Z$100,Z$111,Z$112,Z$114)+SUM(Z$101,Z$102,Y$103,Z$241,Z$243)+Y$227-Y$103)/2)-Z$223)</f>
        <v>0.25223632941003904</v>
      </c>
      <c r="AA224" s="26">
        <f ca="1">IF(AA$4=OFFSET(Choices!$B$10,0,$C$1),AVERAGE(X$224/SUM(X$224:X$226),Y$224/SUM(Y$224:Y$226),Z$224/SUM(Z$224:Z$226)),Z$224/SUM(Z$224:Z$226))*(AA$229*(Z$84+(AA$346-Z$346-SUM(AA$100,AA$111,AA$112,AA$114)+SUM(AA$101,AA$102,Z$103,AA$241,AA$243)+Z$227-Z$103)/2)-AA$223)</f>
        <v>0.25149729765745793</v>
      </c>
      <c r="AB224" s="26">
        <f ca="1">IF(AB$4=OFFSET(Choices!$B$10,0,$C$1),AVERAGE(Y$224/SUM(Y$224:Y$226),Z$224/SUM(Z$224:Z$226),AA$224/SUM(AA$224:AA$226)),AA$224/SUM(AA$224:AA$226))*(AB$229*(AA$84+(AB$346-AA$346-SUM(AB$100,AB$111,AB$112,AB$114)+SUM(AB$101,AB$102,AA$103,AB$241,AB$243)+AA$227-AA$103)/2)-AB$223)</f>
        <v>0.25125908256736906</v>
      </c>
      <c r="AC224" s="26">
        <f ca="1">IF(AC$4=OFFSET(Choices!$B$10,0,$C$1),AVERAGE(Z$224/SUM(Z$224:Z$226),AA$224/SUM(AA$224:AA$226),AB$224/SUM(AB$224:AB$226)),AB$224/SUM(AB$224:AB$226))*(AC$229*(AB$84+(AC$346-AB$346-SUM(AC$100,AC$111,AC$112,AC$114)+SUM(AC$101,AC$102,AB$103,AC$241,AC$243)+AB$227-AB$103)/2)-AC$223)</f>
        <v>0.25145176703014627</v>
      </c>
      <c r="AD224" s="26"/>
      <c r="AE224" s="26"/>
    </row>
    <row r="225" spans="1:31" x14ac:dyDescent="0.2">
      <c r="A225" s="3" t="s">
        <v>414</v>
      </c>
      <c r="B225" s="4" t="str">
        <f>$B$46</f>
        <v>From Fiscal Forecasts</v>
      </c>
      <c r="F225" s="21">
        <f>'Fiscal Forecasts'!F$259</f>
        <v>0.68500000000000005</v>
      </c>
      <c r="G225" s="21">
        <f>'Fiscal Forecasts'!G$259</f>
        <v>0.87</v>
      </c>
      <c r="H225" s="21">
        <f>'Fiscal Forecasts'!H$259</f>
        <v>0.97</v>
      </c>
      <c r="I225" s="21">
        <f>'Fiscal Forecasts'!I$259</f>
        <v>0.84499999999999997</v>
      </c>
      <c r="J225" s="21">
        <f>'Fiscal Forecasts'!J$259</f>
        <v>1.0269999999999999</v>
      </c>
      <c r="K225" s="21">
        <f>'Fiscal Forecasts'!K$259</f>
        <v>1.268</v>
      </c>
      <c r="L225" s="21">
        <f>'Fiscal Forecasts'!L$259</f>
        <v>1.248</v>
      </c>
      <c r="M225" s="21">
        <f>'Fiscal Forecasts'!M$259</f>
        <v>1.161</v>
      </c>
      <c r="N225" s="21">
        <f>'Fiscal Forecasts'!N$259</f>
        <v>1.28</v>
      </c>
      <c r="O225" s="24">
        <f>'Fiscal Forecasts'!O$259</f>
        <v>1.2709999999999999</v>
      </c>
      <c r="P225" s="24">
        <f>'Fiscal Forecasts'!P$259</f>
        <v>1.288</v>
      </c>
      <c r="Q225" s="24">
        <f>'Fiscal Forecasts'!Q$259</f>
        <v>1.4119999999999999</v>
      </c>
      <c r="R225" s="24">
        <f>'Fiscal Forecasts'!R$259</f>
        <v>1.444</v>
      </c>
      <c r="S225" s="24">
        <f>'Fiscal Forecasts'!S$259</f>
        <v>1.5009999999999999</v>
      </c>
      <c r="T225" s="26">
        <f ca="1">IF(T$4=OFFSET(Choices!$B$10,0,$C$1),AVERAGE(Q$225/SUM(Q$224:Q$226),R$225/SUM(R$224:R$226),S$225/SUM(S$224:S$226)),S$225/SUM(S$224:S$226))*(T$229*(S$84+(T$346-S$346-SUM(T$100,T$111,T$112,T$114)+SUM(T$101,T$102,S$103,T$241,T$243)+S$227-S$103)/2)-T$223)</f>
        <v>1.529828041605293</v>
      </c>
      <c r="U225" s="26">
        <f ca="1">IF(U$4=OFFSET(Choices!$B$10,0,$C$1),AVERAGE(R$225/SUM(R$224:R$226),S$225/SUM(S$224:S$226),T$225/SUM(T$224:T$226)),T$225/SUM(T$224:T$226))*(U$229*(T$84+(U$346-T$346-SUM(U$100,U$111,U$112,U$114)+SUM(U$101,U$102,T$103,U$241,U$243)+T$227-T$103)/2)-U$223)</f>
        <v>1.5229150300449701</v>
      </c>
      <c r="V225" s="26">
        <f ca="1">IF(V$4=OFFSET(Choices!$B$10,0,$C$1),AVERAGE(S$225/SUM(S$224:S$226),T$225/SUM(T$224:T$226),U$225/SUM(U$224:U$226)),U$225/SUM(U$224:U$226))*(V$229*(U$84+(V$346-U$346-SUM(V$100,V$111,V$112,V$114)+SUM(V$101,V$102,U$103,V$241,V$243)+U$227-U$103)/2)-V$223)</f>
        <v>1.5137289414388917</v>
      </c>
      <c r="W225" s="26">
        <f ca="1">IF(W$4=OFFSET(Choices!$B$10,0,$C$1),AVERAGE(T$225/SUM(T$224:T$226),U$225/SUM(U$224:U$226),V$225/SUM(V$224:V$226)),V$225/SUM(V$224:V$226))*(W$229*(V$84+(W$346-V$346-SUM(W$100,W$111,W$112,W$114)+SUM(W$101,W$102,V$103,W$241,W$243)+V$227-V$103)/2)-W$223)</f>
        <v>1.5075561159296429</v>
      </c>
      <c r="X225" s="26">
        <f ca="1">IF(X$4=OFFSET(Choices!$B$10,0,$C$1),AVERAGE(U$225/SUM(U$224:U$226),V$225/SUM(V$224:V$226),W$225/SUM(W$224:W$226)),W$225/SUM(W$224:W$226))*(X$229*(W$84+(X$346-W$346-SUM(X$100,X$111,X$112,X$114)+SUM(X$101,X$102,W$103,X$241,X$243)+W$227-W$103)/2)-X$223)</f>
        <v>1.5059208303961535</v>
      </c>
      <c r="Y225" s="26">
        <f ca="1">IF(Y$4=OFFSET(Choices!$B$10,0,$C$1),AVERAGE(V$225/SUM(V$224:V$226),W$225/SUM(W$224:W$226),X$225/SUM(X$224:X$226)),X$225/SUM(X$224:X$226))*(Y$229*(X$84+(Y$346-X$346-SUM(Y$100,Y$111,Y$112,Y$114)+SUM(Y$101,Y$102,X$103,Y$241,Y$243)+X$227-X$103)/2)-Y$223)</f>
        <v>1.5136327175248852</v>
      </c>
      <c r="Z225" s="26">
        <f ca="1">IF(Z$4=OFFSET(Choices!$B$10,0,$C$1),AVERAGE(W$225/SUM(W$224:W$226),X$225/SUM(X$224:X$226),Y$225/SUM(Y$224:Y$226)),Y$225/SUM(Y$224:Y$226))*(Z$229*(Y$84+(Z$346-Y$346-SUM(Z$100,Z$111,Z$112,Z$114)+SUM(Z$101,Z$102,Y$103,Z$241,Z$243)+Y$227-Y$103)/2)-Z$223)</f>
        <v>1.5305521586658806</v>
      </c>
      <c r="AA225" s="26">
        <f ca="1">IF(AA$4=OFFSET(Choices!$B$10,0,$C$1),AVERAGE(X$225/SUM(X$224:X$226),Y$225/SUM(Y$224:Y$226),Z$225/SUM(Z$224:Z$226)),Z$225/SUM(Z$224:Z$226))*(AA$229*(Z$84+(AA$346-Z$346-SUM(AA$100,AA$111,AA$112,AA$114)+SUM(AA$101,AA$102,Z$103,AA$241,AA$243)+Z$227-Z$103)/2)-AA$223)</f>
        <v>1.52606776640216</v>
      </c>
      <c r="AB225" s="26">
        <f ca="1">IF(AB$4=OFFSET(Choices!$B$10,0,$C$1),AVERAGE(Y$225/SUM(Y$224:Y$226),Z$225/SUM(Z$224:Z$226),AA$225/SUM(AA$224:AA$226)),AA$225/SUM(AA$224:AA$226))*(AB$229*(AA$84+(AB$346-AA$346-SUM(AB$100,AB$111,AB$112,AB$114)+SUM(AB$101,AB$102,AA$103,AB$241,AB$243)+AA$227-AA$103)/2)-AB$223)</f>
        <v>1.5246222941293313</v>
      </c>
      <c r="AC225" s="26">
        <f ca="1">IF(AC$4=OFFSET(Choices!$B$10,0,$C$1),AVERAGE(Z$225/SUM(Z$224:Z$226),AA$225/SUM(AA$224:AA$226),AB$225/SUM(AB$224:AB$226)),AB$225/SUM(AB$224:AB$226))*(AC$229*(AB$84+(AC$346-AB$346-SUM(AC$100,AC$111,AC$112,AC$114)+SUM(AC$101,AC$102,AB$103,AC$241,AC$243)+AB$227-AB$103)/2)-AC$223)</f>
        <v>1.5257914897845917</v>
      </c>
      <c r="AD225" s="26"/>
      <c r="AE225" s="26"/>
    </row>
    <row r="226" spans="1:31" x14ac:dyDescent="0.2">
      <c r="A226" s="3" t="s">
        <v>415</v>
      </c>
      <c r="B226" s="4" t="str">
        <f>$B$46</f>
        <v>From Fiscal Forecasts</v>
      </c>
      <c r="F226" s="21">
        <f>'Fiscal Forecasts'!F$260</f>
        <v>-0.39500000000000002</v>
      </c>
      <c r="G226" s="21">
        <f>'Fiscal Forecasts'!G$260</f>
        <v>-0.47699999999999998</v>
      </c>
      <c r="H226" s="21">
        <f>'Fiscal Forecasts'!H$260</f>
        <v>-0.51400000000000001</v>
      </c>
      <c r="I226" s="21">
        <f>'Fiscal Forecasts'!I$260</f>
        <v>-0.624</v>
      </c>
      <c r="J226" s="21">
        <f>'Fiscal Forecasts'!J$260</f>
        <v>-0.745</v>
      </c>
      <c r="K226" s="21">
        <f>'Fiscal Forecasts'!K$260</f>
        <v>-0.73499999999999999</v>
      </c>
      <c r="L226" s="21">
        <f>'Fiscal Forecasts'!L$260</f>
        <v>-0.745</v>
      </c>
      <c r="M226" s="21">
        <f>'Fiscal Forecasts'!M$260</f>
        <v>-0.6</v>
      </c>
      <c r="N226" s="21">
        <f>'Fiscal Forecasts'!N$260</f>
        <v>-0.72099999999999997</v>
      </c>
      <c r="O226" s="24">
        <f>'Fiscal Forecasts'!O$260</f>
        <v>-0.72599999999999998</v>
      </c>
      <c r="P226" s="24">
        <f>'Fiscal Forecasts'!P$260</f>
        <v>-0.626</v>
      </c>
      <c r="Q226" s="24">
        <f>'Fiscal Forecasts'!Q$260</f>
        <v>-0.61799999999999999</v>
      </c>
      <c r="R226" s="24">
        <f>'Fiscal Forecasts'!R$260</f>
        <v>-0.64400000000000002</v>
      </c>
      <c r="S226" s="24">
        <f>'Fiscal Forecasts'!S$260</f>
        <v>-0.67</v>
      </c>
      <c r="T226" s="26">
        <f ca="1">IF(T$4=OFFSET(Choices!$B$10,0,$C$1),AVERAGE(Q$226/SUM(Q$224:Q$226),R$226/SUM(R$224:R$226),S$226/SUM(S$224:S$226)),S$226/SUM(S$224:S$226))*(T$229*(S$84+(T$346-S$346-SUM(T$100,T$111,T$112,T$114)+SUM(T$101,T$102,S$103,T$241,T$243)+S$227-S$103)/2)-T$223)</f>
        <v>-0.67827015622584852</v>
      </c>
      <c r="U226" s="26">
        <f ca="1">IF(U$4=OFFSET(Choices!$B$10,0,$C$1),AVERAGE(R$226/SUM(R$224:R$226),S$226/SUM(S$224:S$226),T$226/SUM(T$224:T$226)),T$226/SUM(T$224:T$226))*(U$229*(T$84+(U$346-T$346-SUM(U$100,U$111,U$112,U$114)+SUM(U$101,U$102,T$103,U$241,U$243)+T$227-T$103)/2)-U$223)</f>
        <v>-0.67520517813452574</v>
      </c>
      <c r="V226" s="26">
        <f ca="1">IF(V$4=OFFSET(Choices!$B$10,0,$C$1),AVERAGE(S$226/SUM(S$224:S$226),T$226/SUM(T$224:T$226),U$226/SUM(U$224:U$226)),U$226/SUM(U$224:U$226))*(V$229*(U$84+(V$346-U$346-SUM(V$100,V$111,V$112,V$114)+SUM(V$101,V$102,U$103,V$241,V$243)+U$227-U$103)/2)-V$223)</f>
        <v>-0.67113240028989218</v>
      </c>
      <c r="W226" s="26">
        <f ca="1">IF(W$4=OFFSET(Choices!$B$10,0,$C$1),AVERAGE(T$226/SUM(T$224:T$226),U$226/SUM(U$224:U$226),V$226/SUM(V$224:V$226)),V$226/SUM(V$224:V$226))*(W$229*(V$84+(W$346-V$346-SUM(W$100,W$111,W$112,W$114)+SUM(W$101,W$102,V$103,W$241,W$243)+V$227-V$103)/2)-W$223)</f>
        <v>-0.66839559379357527</v>
      </c>
      <c r="X226" s="26">
        <f ca="1">IF(X$4=OFFSET(Choices!$B$10,0,$C$1),AVERAGE(U$226/SUM(U$224:U$226),V$226/SUM(V$224:V$226),W$226/SUM(W$224:W$226)),W$226/SUM(W$224:W$226))*(X$229*(W$84+(X$346-W$346-SUM(X$100,X$111,X$112,X$114)+SUM(X$101,X$102,W$103,X$241,X$243)+W$227-W$103)/2)-X$223)</f>
        <v>-0.66767056761801258</v>
      </c>
      <c r="Y226" s="26">
        <f ca="1">IF(Y$4=OFFSET(Choices!$B$10,0,$C$1),AVERAGE(V$226/SUM(V$224:V$226),W$226/SUM(W$224:W$226),X$226/SUM(X$224:X$226)),X$226/SUM(X$224:X$226))*(Y$229*(X$84+(Y$346-X$346-SUM(Y$100,Y$111,Y$112,Y$114)+SUM(Y$101,Y$102,X$103,Y$241,Y$243)+X$227-X$103)/2)-Y$223)</f>
        <v>-0.6710897381034171</v>
      </c>
      <c r="Z226" s="26">
        <f ca="1">IF(Z$4=OFFSET(Choices!$B$10,0,$C$1),AVERAGE(W$226/SUM(W$224:W$226),X$226/SUM(X$224:X$226),Y$226/SUM(Y$224:Y$226)),Y$226/SUM(Y$224:Y$226))*(Z$229*(Y$84+(Z$346-Y$346-SUM(Z$100,Z$111,Z$112,Z$114)+SUM(Z$101,Z$102,Y$103,Z$241,Z$243)+Y$227-Y$103)/2)-Z$223)</f>
        <v>-0.67859120341445622</v>
      </c>
      <c r="AA226" s="26">
        <f ca="1">IF(AA$4=OFFSET(Choices!$B$10,0,$C$1),AVERAGE(X$226/SUM(X$224:X$226),Y$226/SUM(Y$224:Y$226),Z$226/SUM(Z$224:Z$226)),Z$226/SUM(Z$224:Z$226))*(AA$229*(Z$84+(AA$346-Z$346-SUM(AA$100,AA$111,AA$112,AA$114)+SUM(AA$101,AA$102,Z$103,AA$241,AA$243)+Z$227-Z$103)/2)-AA$223)</f>
        <v>-0.67660298685771159</v>
      </c>
      <c r="AB226" s="26">
        <f ca="1">IF(AB$4=OFFSET(Choices!$B$10,0,$C$1),AVERAGE(Y$226/SUM(Y$224:Y$226),Z$226/SUM(Z$224:Z$226),AA$226/SUM(AA$224:AA$226)),AA$226/SUM(AA$224:AA$226))*(AB$229*(AA$84+(AB$346-AA$346-SUM(AB$100,AB$111,AB$112,AB$114)+SUM(AB$101,AB$102,AA$103,AB$241,AB$243)+AA$227-AA$103)/2)-AB$223)</f>
        <v>-0.67596211698368125</v>
      </c>
      <c r="AC226" s="26">
        <f ca="1">IF(AC$4=OFFSET(Choices!$B$10,0,$C$1),AVERAGE(Z$226/SUM(Z$224:Z$226),AA$226/SUM(AA$224:AA$226),AB$226/SUM(AB$224:AB$226)),AB$226/SUM(AB$224:AB$226))*(AC$229*(AB$84+(AC$346-AB$346-SUM(AC$100,AC$111,AC$112,AC$114)+SUM(AC$101,AC$102,AB$103,AC$241,AC$243)+AB$227-AB$103)/2)-AC$223)</f>
        <v>-0.6764804958460009</v>
      </c>
      <c r="AD226" s="26"/>
      <c r="AE226" s="26"/>
    </row>
    <row r="227" spans="1:31" x14ac:dyDescent="0.2">
      <c r="A227" s="31" t="s">
        <v>487</v>
      </c>
      <c r="F227" s="56">
        <f>SUM(F$223:F$226)</f>
        <v>2.8850000000000002</v>
      </c>
      <c r="G227" s="56">
        <f t="shared" ref="G227:AC227" si="147">SUM(G$223:G$226)</f>
        <v>3.1010000000000004</v>
      </c>
      <c r="H227" s="56">
        <f t="shared" si="147"/>
        <v>3.0699999999999994</v>
      </c>
      <c r="I227" s="56">
        <f t="shared" si="147"/>
        <v>2.7769999999999997</v>
      </c>
      <c r="J227" s="56">
        <f t="shared" si="147"/>
        <v>3.5960000000000001</v>
      </c>
      <c r="K227" s="56">
        <f t="shared" si="147"/>
        <v>4.29</v>
      </c>
      <c r="L227" s="56">
        <f t="shared" si="147"/>
        <v>4.3579999999999997</v>
      </c>
      <c r="M227" s="56">
        <f t="shared" si="147"/>
        <v>4.4000000000000004</v>
      </c>
      <c r="N227" s="56">
        <f t="shared" si="147"/>
        <v>4.5629999999999997</v>
      </c>
      <c r="O227" s="57">
        <f t="shared" si="147"/>
        <v>4.4210000000000003</v>
      </c>
      <c r="P227" s="57">
        <f t="shared" si="147"/>
        <v>4.83</v>
      </c>
      <c r="Q227" s="57">
        <f t="shared" si="147"/>
        <v>5.077</v>
      </c>
      <c r="R227" s="57">
        <f t="shared" si="147"/>
        <v>5.26</v>
      </c>
      <c r="S227" s="57">
        <f t="shared" si="147"/>
        <v>5.4079999999999995</v>
      </c>
      <c r="T227" s="58">
        <f t="shared" ca="1" si="147"/>
        <v>5.5790826858549849</v>
      </c>
      <c r="U227" s="58">
        <f t="shared" ca="1" si="147"/>
        <v>5.6231703003437854</v>
      </c>
      <c r="V227" s="58">
        <f t="shared" ca="1" si="147"/>
        <v>5.6688372671142364</v>
      </c>
      <c r="W227" s="58">
        <f t="shared" ca="1" si="147"/>
        <v>5.7256310684383083</v>
      </c>
      <c r="X227" s="58">
        <f t="shared" ca="1" si="147"/>
        <v>5.7212494958758553</v>
      </c>
      <c r="Y227" s="58">
        <f t="shared" ca="1" si="147"/>
        <v>5.6499103663500678</v>
      </c>
      <c r="Z227" s="58">
        <f t="shared" ca="1" si="147"/>
        <v>5.4982464507993596</v>
      </c>
      <c r="AA227" s="58">
        <f t="shared" ca="1" si="147"/>
        <v>5.1182013726696294</v>
      </c>
      <c r="AB227" s="58">
        <f t="shared" ca="1" si="147"/>
        <v>4.6415154595791348</v>
      </c>
      <c r="AC227" s="58">
        <f t="shared" ca="1" si="147"/>
        <v>4.0630647647359197</v>
      </c>
      <c r="AD227" s="26"/>
      <c r="AE227" s="26"/>
    </row>
    <row r="228" spans="1:31" x14ac:dyDescent="0.2">
      <c r="A228" s="66" t="s">
        <v>784</v>
      </c>
      <c r="F228" s="62"/>
      <c r="G228" s="79">
        <f t="shared" ref="G228:N228" si="148">G$223/AVERAGE(F$85,G$85)</f>
        <v>6.7187414650133823E-2</v>
      </c>
      <c r="H228" s="79">
        <f t="shared" si="148"/>
        <v>5.5279298141805391E-2</v>
      </c>
      <c r="I228" s="79">
        <f t="shared" si="148"/>
        <v>4.2353932996114653E-2</v>
      </c>
      <c r="J228" s="79">
        <f t="shared" si="148"/>
        <v>4.5265302506865085E-2</v>
      </c>
      <c r="K228" s="79">
        <f t="shared" si="148"/>
        <v>4.3462383560795965E-2</v>
      </c>
      <c r="L228" s="79">
        <f t="shared" si="148"/>
        <v>4.270051252410751E-2</v>
      </c>
      <c r="M228" s="79">
        <f t="shared" si="148"/>
        <v>4.1618045216511551E-2</v>
      </c>
      <c r="N228" s="79">
        <f t="shared" si="148"/>
        <v>4.0955077162916326E-2</v>
      </c>
      <c r="O228" s="80">
        <f>O$223/AVERAGE(N$85,O$85)</f>
        <v>3.7741497581798192E-2</v>
      </c>
      <c r="P228" s="80">
        <f>P$223/AVERAGE(O$85,P$85)</f>
        <v>3.8538919816388323E-2</v>
      </c>
      <c r="Q228" s="80">
        <f>Q$223/AVERAGE(P$85,Q$85)</f>
        <v>3.8465190474381863E-2</v>
      </c>
      <c r="R228" s="80">
        <f>R$223/AVERAGE(Q$85,R$85)</f>
        <v>4.1198063105279605E-2</v>
      </c>
      <c r="S228" s="80">
        <f>S$223/AVERAGE(R$85,S$85)</f>
        <v>4.2610128637135064E-2</v>
      </c>
      <c r="T228" s="59">
        <f ca="1">S$228+IF(T$4=OFFSET(Choices!$B$10,0,$C$1),ABS(OFFSET(Choices!$B$16,0,$C$1)-S$228)/OFFSET(Choices!$B$29,0,$C$1),MIN(ABS(S$228-R$228),ABS(OFFSET(Choices!$B$16,0,$C$1)-S$228)))*SIGN(OFFSET(Choices!$B$16,0,$C$1)-S$228)</f>
        <v>4.4094395974687201E-2</v>
      </c>
      <c r="U228" s="59">
        <f ca="1">T$228+IF(U$4=OFFSET(Choices!$B$10,0,$C$1),ABS(OFFSET(Choices!$B$16,0,$C$1)-T$228)/OFFSET(Choices!$B$29,0,$C$1),MIN(ABS(T$228-S$228),ABS(OFFSET(Choices!$B$16,0,$C$1)-T$228)))*SIGN(OFFSET(Choices!$B$16,0,$C$1)-T$228)</f>
        <v>4.5578663312239337E-2</v>
      </c>
      <c r="V228" s="59">
        <f ca="1">U$228+IF(V$4=OFFSET(Choices!$B$10,0,$C$1),ABS(OFFSET(Choices!$B$16,0,$C$1)-U$228)/OFFSET(Choices!$B$29,0,$C$1),MIN(ABS(U$228-T$228),ABS(OFFSET(Choices!$B$16,0,$C$1)-U$228)))*SIGN(OFFSET(Choices!$B$16,0,$C$1)-U$228)</f>
        <v>4.7062930649791473E-2</v>
      </c>
      <c r="W228" s="59">
        <f ca="1">V$228+IF(W$4=OFFSET(Choices!$B$10,0,$C$1),ABS(OFFSET(Choices!$B$16,0,$C$1)-V$228)/OFFSET(Choices!$B$29,0,$C$1),MIN(ABS(V$228-U$228),ABS(OFFSET(Choices!$B$16,0,$C$1)-V$228)))*SIGN(OFFSET(Choices!$B$16,0,$C$1)-V$228)</f>
        <v>4.854719798734361E-2</v>
      </c>
      <c r="X228" s="59">
        <f ca="1">W$228+IF(X$4=OFFSET(Choices!$B$10,0,$C$1),ABS(OFFSET(Choices!$B$16,0,$C$1)-W$228)/OFFSET(Choices!$B$29,0,$C$1),MIN(ABS(W$228-V$228),ABS(OFFSET(Choices!$B$16,0,$C$1)-W$228)))*SIGN(OFFSET(Choices!$B$16,0,$C$1)-W$228)</f>
        <v>5.0031465324895746E-2</v>
      </c>
      <c r="Y228" s="59">
        <f ca="1">X$228+IF(Y$4=OFFSET(Choices!$B$10,0,$C$1),ABS(OFFSET(Choices!$B$16,0,$C$1)-X$228)/OFFSET(Choices!$B$29,0,$C$1),MIN(ABS(X$228-W$228),ABS(OFFSET(Choices!$B$16,0,$C$1)-X$228)))*SIGN(OFFSET(Choices!$B$16,0,$C$1)-X$228)</f>
        <v>5.1515732662447883E-2</v>
      </c>
      <c r="Z228" s="59">
        <f ca="1">Y$228+IF(Z$4=OFFSET(Choices!$B$10,0,$C$1),ABS(OFFSET(Choices!$B$16,0,$C$1)-Y$228)/OFFSET(Choices!$B$29,0,$C$1),MIN(ABS(Y$228-X$228),ABS(OFFSET(Choices!$B$16,0,$C$1)-Y$228)))*SIGN(OFFSET(Choices!$B$16,0,$C$1)-Y$228)</f>
        <v>5.2999999999999999E-2</v>
      </c>
      <c r="AA228" s="59">
        <f ca="1">Z$228+IF(AA$4=OFFSET(Choices!$B$10,0,$C$1),ABS(OFFSET(Choices!$B$16,0,$C$1)-Z$228)/OFFSET(Choices!$B$29,0,$C$1),MIN(ABS(Z$228-Y$228),ABS(OFFSET(Choices!$B$16,0,$C$1)-Z$228)))*SIGN(OFFSET(Choices!$B$16,0,$C$1)-Z$228)</f>
        <v>5.2999999999999999E-2</v>
      </c>
      <c r="AB228" s="59">
        <f ca="1">AA$228+IF(AB$4=OFFSET(Choices!$B$10,0,$C$1),ABS(OFFSET(Choices!$B$16,0,$C$1)-AA$228)/OFFSET(Choices!$B$29,0,$C$1),MIN(ABS(AA$228-Z$228),ABS(OFFSET(Choices!$B$16,0,$C$1)-AA$228)))*SIGN(OFFSET(Choices!$B$16,0,$C$1)-AA$228)</f>
        <v>5.2999999999999999E-2</v>
      </c>
      <c r="AC228" s="59">
        <f ca="1">AB$228+IF(AC$4=OFFSET(Choices!$B$10,0,$C$1),ABS(OFFSET(Choices!$B$16,0,$C$1)-AB$228)/OFFSET(Choices!$B$29,0,$C$1),MIN(ABS(AB$228-AA$228),ABS(OFFSET(Choices!$B$16,0,$C$1)-AB$228)))*SIGN(OFFSET(Choices!$B$16,0,$C$1)-AB$228)</f>
        <v>5.2999999999999999E-2</v>
      </c>
      <c r="AD228" s="26"/>
      <c r="AE228" s="26"/>
    </row>
    <row r="229" spans="1:31" x14ac:dyDescent="0.2">
      <c r="A229" s="66" t="s">
        <v>785</v>
      </c>
      <c r="F229" s="62"/>
      <c r="G229" s="79">
        <f t="shared" ref="G229:N229" si="149">G$227/AVERAGE(F$84,G$84)</f>
        <v>7.0470866284883207E-2</v>
      </c>
      <c r="H229" s="79">
        <f t="shared" si="149"/>
        <v>5.6818707605748489E-2</v>
      </c>
      <c r="I229" s="79">
        <f t="shared" si="149"/>
        <v>4.2176085536807247E-2</v>
      </c>
      <c r="J229" s="79">
        <f t="shared" si="149"/>
        <v>4.4956181474952804E-2</v>
      </c>
      <c r="K229" s="79">
        <f t="shared" si="149"/>
        <v>4.4973503373012758E-2</v>
      </c>
      <c r="L229" s="79">
        <f t="shared" si="149"/>
        <v>4.3445102955323722E-2</v>
      </c>
      <c r="M229" s="79">
        <f t="shared" si="149"/>
        <v>4.324196829577507E-2</v>
      </c>
      <c r="N229" s="79">
        <f t="shared" si="149"/>
        <v>4.2250195602757418E-2</v>
      </c>
      <c r="O229" s="80">
        <f>O$227/AVERAGE(N$84,O$84)</f>
        <v>3.8517834428200531E-2</v>
      </c>
      <c r="P229" s="80">
        <f>P$227/AVERAGE(O$84,P$84)</f>
        <v>3.9615004490520696E-2</v>
      </c>
      <c r="Q229" s="80">
        <f>Q$227/AVERAGE(P$84,Q$84)</f>
        <v>4.0275590707341546E-2</v>
      </c>
      <c r="R229" s="80">
        <f>R$227/AVERAGE(Q$84,R$84)</f>
        <v>4.2321231016795739E-2</v>
      </c>
      <c r="S229" s="80">
        <f>S$227/AVERAGE(R$84,S$84)</f>
        <v>4.3441938178780282E-2</v>
      </c>
      <c r="T229" s="59">
        <f ca="1">S$229+IF(T$4=OFFSET(Choices!$B$10,0,$C$1),ABS(OFFSET(Choices!$B$16,0,$C$1)-S$229)/OFFSET(Choices!$B$29,0,$C$1),MIN(ABS(S$229-R$229),ABS(OFFSET(Choices!$B$16,0,$C$1)-S$229)))*SIGN(OFFSET(Choices!$B$16,0,$C$1)-S$229)</f>
        <v>4.4807375581811672E-2</v>
      </c>
      <c r="U229" s="59">
        <f ca="1">T$229+IF(U$4=OFFSET(Choices!$B$10,0,$C$1),ABS(OFFSET(Choices!$B$16,0,$C$1)-T$229)/OFFSET(Choices!$B$29,0,$C$1),MIN(ABS(T$229-S$229),ABS(OFFSET(Choices!$B$16,0,$C$1)-T$229)))*SIGN(OFFSET(Choices!$B$16,0,$C$1)-T$229)</f>
        <v>4.6172812984843062E-2</v>
      </c>
      <c r="V229" s="59">
        <f ca="1">U$229+IF(V$4=OFFSET(Choices!$B$10,0,$C$1),ABS(OFFSET(Choices!$B$16,0,$C$1)-U$229)/OFFSET(Choices!$B$29,0,$C$1),MIN(ABS(U$229-T$229),ABS(OFFSET(Choices!$B$16,0,$C$1)-U$229)))*SIGN(OFFSET(Choices!$B$16,0,$C$1)-U$229)</f>
        <v>4.7538250387874452E-2</v>
      </c>
      <c r="W229" s="59">
        <f ca="1">V$229+IF(W$4=OFFSET(Choices!$B$10,0,$C$1),ABS(OFFSET(Choices!$B$16,0,$C$1)-V$229)/OFFSET(Choices!$B$29,0,$C$1),MIN(ABS(V$229-U$229),ABS(OFFSET(Choices!$B$16,0,$C$1)-V$229)))*SIGN(OFFSET(Choices!$B$16,0,$C$1)-V$229)</f>
        <v>4.8903687790905842E-2</v>
      </c>
      <c r="X229" s="59">
        <f ca="1">W$229+IF(X$4=OFFSET(Choices!$B$10,0,$C$1),ABS(OFFSET(Choices!$B$16,0,$C$1)-W$229)/OFFSET(Choices!$B$29,0,$C$1),MIN(ABS(W$229-V$229),ABS(OFFSET(Choices!$B$16,0,$C$1)-W$229)))*SIGN(OFFSET(Choices!$B$16,0,$C$1)-W$229)</f>
        <v>5.0269125193937232E-2</v>
      </c>
      <c r="Y229" s="59">
        <f ca="1">X$229+IF(Y$4=OFFSET(Choices!$B$10,0,$C$1),ABS(OFFSET(Choices!$B$16,0,$C$1)-X$229)/OFFSET(Choices!$B$29,0,$C$1),MIN(ABS(X$229-W$229),ABS(OFFSET(Choices!$B$16,0,$C$1)-X$229)))*SIGN(OFFSET(Choices!$B$16,0,$C$1)-X$229)</f>
        <v>5.1634562596968622E-2</v>
      </c>
      <c r="Z229" s="59">
        <f ca="1">Y$229+IF(Z$4=OFFSET(Choices!$B$10,0,$C$1),ABS(OFFSET(Choices!$B$16,0,$C$1)-Y$229)/OFFSET(Choices!$B$29,0,$C$1),MIN(ABS(Y$229-X$229),ABS(OFFSET(Choices!$B$16,0,$C$1)-Y$229)))*SIGN(OFFSET(Choices!$B$16,0,$C$1)-Y$229)</f>
        <v>5.2999999999999999E-2</v>
      </c>
      <c r="AA229" s="59">
        <f ca="1">Z$229+IF(AA$4=OFFSET(Choices!$B$10,0,$C$1),ABS(OFFSET(Choices!$B$16,0,$C$1)-Z$229)/OFFSET(Choices!$B$29,0,$C$1),MIN(ABS(Z$229-Y$229),ABS(OFFSET(Choices!$B$16,0,$C$1)-Z$229)))*SIGN(OFFSET(Choices!$B$16,0,$C$1)-Z$229)</f>
        <v>5.2999999999999999E-2</v>
      </c>
      <c r="AB229" s="59">
        <f ca="1">AA$229+IF(AB$4=OFFSET(Choices!$B$10,0,$C$1),ABS(OFFSET(Choices!$B$16,0,$C$1)-AA$229)/OFFSET(Choices!$B$29,0,$C$1),MIN(ABS(AA$229-Z$229),ABS(OFFSET(Choices!$B$16,0,$C$1)-AA$229)))*SIGN(OFFSET(Choices!$B$16,0,$C$1)-AA$229)</f>
        <v>5.2999999999999999E-2</v>
      </c>
      <c r="AC229" s="59">
        <f ca="1">AB$229+IF(AC$4=OFFSET(Choices!$B$10,0,$C$1),ABS(OFFSET(Choices!$B$16,0,$C$1)-AB$229)/OFFSET(Choices!$B$29,0,$C$1),MIN(ABS(AB$229-AA$229),ABS(OFFSET(Choices!$B$16,0,$C$1)-AB$229)))*SIGN(OFFSET(Choices!$B$16,0,$C$1)-AB$229)</f>
        <v>5.2999999999999999E-2</v>
      </c>
      <c r="AD229" s="26"/>
      <c r="AE229" s="26"/>
    </row>
    <row r="230" spans="1:31" x14ac:dyDescent="0.2">
      <c r="AD230" s="26"/>
      <c r="AE230" s="26"/>
    </row>
    <row r="231" spans="1:31" x14ac:dyDescent="0.2">
      <c r="A231" s="31" t="s">
        <v>234</v>
      </c>
      <c r="AD231" s="26"/>
      <c r="AE231" s="26"/>
    </row>
    <row r="232" spans="1:31" x14ac:dyDescent="0.2">
      <c r="A232" s="3" t="s">
        <v>412</v>
      </c>
      <c r="B232" s="4" t="str">
        <f>$B$46</f>
        <v>From Fiscal Forecasts</v>
      </c>
      <c r="F232" s="21">
        <f>'Fiscal Forecasts'!F$169</f>
        <v>1.7999999999999999E-2</v>
      </c>
      <c r="G232" s="21">
        <f>'Fiscal Forecasts'!G$169</f>
        <v>0.01</v>
      </c>
      <c r="H232" s="21">
        <f>'Fiscal Forecasts'!H$169</f>
        <v>3.2000000000000001E-2</v>
      </c>
      <c r="I232" s="21">
        <f>'Fiscal Forecasts'!I$169</f>
        <v>0.02</v>
      </c>
      <c r="J232" s="21">
        <f>'Fiscal Forecasts'!J$169</f>
        <v>2.1999999999999999E-2</v>
      </c>
      <c r="K232" s="21">
        <f>'Fiscal Forecasts'!K$169</f>
        <v>3.0000000000000001E-3</v>
      </c>
      <c r="L232" s="21">
        <f>'Fiscal Forecasts'!L$169</f>
        <v>1E-3</v>
      </c>
      <c r="M232" s="21">
        <f>'Fiscal Forecasts'!M$169</f>
        <v>0</v>
      </c>
      <c r="N232" s="21">
        <f>'Fiscal Forecasts'!N$169</f>
        <v>6.0000000000000001E-3</v>
      </c>
      <c r="O232" s="24">
        <f>'Fiscal Forecasts'!O$169</f>
        <v>2E-3</v>
      </c>
      <c r="P232" s="24">
        <f>'Fiscal Forecasts'!P$169</f>
        <v>8.0000000000000002E-3</v>
      </c>
      <c r="Q232" s="24">
        <f>'Fiscal Forecasts'!Q$169</f>
        <v>8.9999999999999993E-3</v>
      </c>
      <c r="R232" s="24">
        <f>'Fiscal Forecasts'!R$169</f>
        <v>6.0000000000000001E-3</v>
      </c>
      <c r="S232" s="24">
        <f>'Fiscal Forecasts'!S$169</f>
        <v>8.0000000000000002E-3</v>
      </c>
      <c r="T232" s="26">
        <f ca="1">IF(T$4=OFFSET(Choices!$B$10,0,$C$1),0,S$232)</f>
        <v>0</v>
      </c>
      <c r="U232" s="26">
        <f ca="1">IF(U$4=OFFSET(Choices!$B$10,0,$C$1),0,T$232)</f>
        <v>0</v>
      </c>
      <c r="V232" s="26">
        <f ca="1">IF(V$4=OFFSET(Choices!$B$10,0,$C$1),0,U$232)</f>
        <v>0</v>
      </c>
      <c r="W232" s="26">
        <f ca="1">IF(W$4=OFFSET(Choices!$B$10,0,$C$1),0,V$232)</f>
        <v>0</v>
      </c>
      <c r="X232" s="26">
        <f ca="1">IF(X$4=OFFSET(Choices!$B$10,0,$C$1),0,W$232)</f>
        <v>0</v>
      </c>
      <c r="Y232" s="26">
        <f ca="1">IF(Y$4=OFFSET(Choices!$B$10,0,$C$1),0,X$232)</f>
        <v>0</v>
      </c>
      <c r="Z232" s="26">
        <f ca="1">IF(Z$4=OFFSET(Choices!$B$10,0,$C$1),0,Y$232)</f>
        <v>0</v>
      </c>
      <c r="AA232" s="26">
        <f ca="1">IF(AA$4=OFFSET(Choices!$B$10,0,$C$1),0,Z$232)</f>
        <v>0</v>
      </c>
      <c r="AB232" s="26">
        <f ca="1">IF(AB$4=OFFSET(Choices!$B$10,0,$C$1),0,AA$232)</f>
        <v>0</v>
      </c>
      <c r="AC232" s="26">
        <f ca="1">IF(AC$4=OFFSET(Choices!$B$10,0,$C$1),0,AB$232)</f>
        <v>0</v>
      </c>
      <c r="AD232" s="26"/>
      <c r="AE232" s="26"/>
    </row>
    <row r="233" spans="1:31" x14ac:dyDescent="0.2">
      <c r="A233" s="3" t="s">
        <v>413</v>
      </c>
      <c r="B233" s="4" t="str">
        <f>$B$46</f>
        <v>From Fiscal Forecasts</v>
      </c>
      <c r="F233" s="21">
        <f>'Fiscal Forecasts'!F$170</f>
        <v>2.9569999999999999</v>
      </c>
      <c r="G233" s="21">
        <f>'Fiscal Forecasts'!G$170</f>
        <v>3.5529999999999999</v>
      </c>
      <c r="H233" s="21">
        <f>'Fiscal Forecasts'!H$170</f>
        <v>3.85</v>
      </c>
      <c r="I233" s="21">
        <f>'Fiscal Forecasts'!I$170</f>
        <v>2.9860000000000002</v>
      </c>
      <c r="J233" s="21">
        <f>'Fiscal Forecasts'!J$170</f>
        <v>14.906000000000001</v>
      </c>
      <c r="K233" s="21">
        <f>'Fiscal Forecasts'!K$170</f>
        <v>4.3230000000000004</v>
      </c>
      <c r="L233" s="21">
        <f>'Fiscal Forecasts'!L$170</f>
        <v>3.0110000000000001</v>
      </c>
      <c r="M233" s="21">
        <f>'Fiscal Forecasts'!M$170</f>
        <v>3.464</v>
      </c>
      <c r="N233" s="21">
        <f>'Fiscal Forecasts'!N$170</f>
        <v>4.085</v>
      </c>
      <c r="O233" s="24">
        <f>'Fiscal Forecasts'!O$170</f>
        <v>3.9889999999999999</v>
      </c>
      <c r="P233" s="24">
        <f>'Fiscal Forecasts'!P$170</f>
        <v>4.1029999999999998</v>
      </c>
      <c r="Q233" s="24">
        <f>'Fiscal Forecasts'!Q$170</f>
        <v>4.3959999999999999</v>
      </c>
      <c r="R233" s="24">
        <f>'Fiscal Forecasts'!R$170</f>
        <v>4.742</v>
      </c>
      <c r="S233" s="24">
        <f>'Fiscal Forecasts'!S$170</f>
        <v>4.9580000000000002</v>
      </c>
      <c r="T233" s="26">
        <f ca="1">IF(T$4=OFFSET(Choices!$B$10,0,$C$1),AVERAGE(Q$233/SUM(Q$233,Q$234),R$233/SUM(R$233,R$234),S$233/SUM(S$233,S$234)),S$233/SUM(S$233,S$234))*SUM(T$237:T$239)</f>
        <v>5.1665588611358428</v>
      </c>
      <c r="U233" s="26">
        <f ca="1">IF(U$4=OFFSET(Choices!$B$10,0,$C$1),AVERAGE(R$233/SUM(R$233,R$234),S$233/SUM(S$233,S$234),T$233/SUM(T$233,T$234)),T$233/SUM(T$233,T$234))*SUM(U$237:U$239)</f>
        <v>5.4072205122739501</v>
      </c>
      <c r="V233" s="26">
        <f ca="1">IF(V$4=OFFSET(Choices!$B$10,0,$C$1),AVERAGE(S$233/SUM(S$233,S$234),T$233/SUM(T$233,T$234),U$233/SUM(U$233,U$234)),U$233/SUM(U$233,U$234))*SUM(V$237:V$239)</f>
        <v>5.6534167746965176</v>
      </c>
      <c r="W233" s="26">
        <f ca="1">IF(W$4=OFFSET(Choices!$B$10,0,$C$1),AVERAGE(T$233/SUM(T$233,T$234),U$233/SUM(U$233,U$234),V$233/SUM(V$233,V$234)),V$233/SUM(V$233,V$234))*SUM(W$237:W$239)</f>
        <v>5.923092230888872</v>
      </c>
      <c r="X233" s="26">
        <f ca="1">IF(X$4=OFFSET(Choices!$B$10,0,$C$1),AVERAGE(U$233/SUM(U$233,U$234),V$233/SUM(V$233,V$234),W$233/SUM(W$233,W$234)),W$233/SUM(W$233,W$234))*SUM(X$237:X$239)</f>
        <v>6.1713384888744987</v>
      </c>
      <c r="Y233" s="26">
        <f ca="1">IF(Y$4=OFFSET(Choices!$B$10,0,$C$1),AVERAGE(V$233/SUM(V$233,V$234),W$233/SUM(W$233,W$234),X$233/SUM(X$233,X$234)),X$233/SUM(X$233,X$234))*SUM(Y$237:Y$239)</f>
        <v>6.4309688258648636</v>
      </c>
      <c r="Z233" s="26">
        <f ca="1">IF(Z$4=OFFSET(Choices!$B$10,0,$C$1),AVERAGE(W$233/SUM(W$233,W$234),X$233/SUM(X$233,X$234),Y$233/SUM(Y$233,Y$234)),Y$233/SUM(Y$233,Y$234))*SUM(Z$237:Z$239)</f>
        <v>6.6851535684987455</v>
      </c>
      <c r="AA233" s="26">
        <f ca="1">IF(AA$4=OFFSET(Choices!$B$10,0,$C$1),AVERAGE(X$233/SUM(X$233,X$234),Y$233/SUM(Y$233,Y$234),Z$233/SUM(Z$233,Z$234)),Z$233/SUM(Z$233,Z$234))*SUM(AA$237:AA$239)</f>
        <v>6.9470209938951628</v>
      </c>
      <c r="AB233" s="26">
        <f ca="1">IF(AB$4=OFFSET(Choices!$B$10,0,$C$1),AVERAGE(Y$233/SUM(Y$233,Y$234),Z$233/SUM(Z$233,Z$234),AA$233/SUM(AA$233,AA$234)),AA$233/SUM(AA$233,AA$234))*SUM(AB$237:AB$239)</f>
        <v>7.2168465853883426</v>
      </c>
      <c r="AC233" s="26">
        <f ca="1">IF(AC$4=OFFSET(Choices!$B$10,0,$C$1),AVERAGE(Z$233/SUM(Z$233,Z$234),AA$233/SUM(AA$233,AA$234),AB$233/SUM(AB$233,AB$234)),AB$233/SUM(AB$233,AB$234))*SUM(AC$237:AC$239)</f>
        <v>7.495026338565502</v>
      </c>
      <c r="AD233" s="26"/>
      <c r="AE233" s="26"/>
    </row>
    <row r="234" spans="1:31" x14ac:dyDescent="0.2">
      <c r="A234" s="3" t="s">
        <v>414</v>
      </c>
      <c r="B234" s="4" t="str">
        <f>$B$46</f>
        <v>From Fiscal Forecasts</v>
      </c>
      <c r="F234" s="21">
        <f>'Fiscal Forecasts'!F$171</f>
        <v>0</v>
      </c>
      <c r="G234" s="21">
        <f>'Fiscal Forecasts'!G$171</f>
        <v>0</v>
      </c>
      <c r="H234" s="21">
        <f>'Fiscal Forecasts'!H$171</f>
        <v>0</v>
      </c>
      <c r="I234" s="21">
        <f>'Fiscal Forecasts'!I$171</f>
        <v>0</v>
      </c>
      <c r="J234" s="21">
        <f>'Fiscal Forecasts'!J$171</f>
        <v>0</v>
      </c>
      <c r="K234" s="21">
        <f>'Fiscal Forecasts'!K$171</f>
        <v>0.36299999999999999</v>
      </c>
      <c r="L234" s="21">
        <f>'Fiscal Forecasts'!L$171</f>
        <v>1.4999999999999999E-2</v>
      </c>
      <c r="M234" s="21">
        <f>'Fiscal Forecasts'!M$171</f>
        <v>1.4E-2</v>
      </c>
      <c r="N234" s="21">
        <f>'Fiscal Forecasts'!N$171</f>
        <v>1.0999999999999999E-2</v>
      </c>
      <c r="O234" s="24">
        <f>'Fiscal Forecasts'!O$171</f>
        <v>8.0000000000000002E-3</v>
      </c>
      <c r="P234" s="24">
        <f>'Fiscal Forecasts'!P$171</f>
        <v>8.0000000000000002E-3</v>
      </c>
      <c r="Q234" s="24">
        <f>'Fiscal Forecasts'!Q$171</f>
        <v>8.0000000000000002E-3</v>
      </c>
      <c r="R234" s="24">
        <f>'Fiscal Forecasts'!R$171</f>
        <v>8.0000000000000002E-3</v>
      </c>
      <c r="S234" s="24">
        <f>'Fiscal Forecasts'!S$171</f>
        <v>8.0000000000000002E-3</v>
      </c>
      <c r="T234" s="26">
        <f t="shared" ref="T234:AC234" ca="1" si="150">SUM(T$237:T$239)-T$233</f>
        <v>8.8183173142324378E-3</v>
      </c>
      <c r="U234" s="26">
        <f t="shared" ca="1" si="150"/>
        <v>9.2290802344168199E-3</v>
      </c>
      <c r="V234" s="26">
        <f t="shared" ca="1" si="150"/>
        <v>9.6492896662594418E-3</v>
      </c>
      <c r="W234" s="26">
        <f t="shared" ca="1" si="150"/>
        <v>1.0109573543494399E-2</v>
      </c>
      <c r="X234" s="26">
        <f t="shared" ca="1" si="150"/>
        <v>1.0533281921512483E-2</v>
      </c>
      <c r="Y234" s="26">
        <f t="shared" ca="1" si="150"/>
        <v>1.0976420721924285E-2</v>
      </c>
      <c r="Z234" s="26">
        <f t="shared" ca="1" si="150"/>
        <v>1.1410264945367565E-2</v>
      </c>
      <c r="AA234" s="26">
        <f t="shared" ca="1" si="150"/>
        <v>1.1857222023274439E-2</v>
      </c>
      <c r="AB234" s="26">
        <f t="shared" ca="1" si="150"/>
        <v>1.2317762152447287E-2</v>
      </c>
      <c r="AC234" s="26">
        <f t="shared" ca="1" si="150"/>
        <v>1.2792561220810406E-2</v>
      </c>
      <c r="AD234" s="26"/>
      <c r="AE234" s="26"/>
    </row>
    <row r="235" spans="1:31" x14ac:dyDescent="0.2">
      <c r="A235" s="3" t="s">
        <v>415</v>
      </c>
      <c r="B235" s="4" t="str">
        <f>$B$46</f>
        <v>From Fiscal Forecasts</v>
      </c>
      <c r="F235" s="21">
        <f>'Fiscal Forecasts'!F$20-SUM(F$232:F$234)</f>
        <v>0</v>
      </c>
      <c r="G235" s="21">
        <f>'Fiscal Forecasts'!G$20-SUM(G$232:G$234)</f>
        <v>0</v>
      </c>
      <c r="H235" s="21">
        <f>'Fiscal Forecasts'!H$20-SUM(H$232:H$234)</f>
        <v>0</v>
      </c>
      <c r="I235" s="21">
        <f>'Fiscal Forecasts'!I$20-SUM(I$232:I$234)</f>
        <v>0</v>
      </c>
      <c r="J235" s="21">
        <f>'Fiscal Forecasts'!J$20-SUM(J$232:J$234)</f>
        <v>-0.3360000000000003</v>
      </c>
      <c r="K235" s="21">
        <f>'Fiscal Forecasts'!K$20-SUM(K$232:K$234)</f>
        <v>-0.11300000000000043</v>
      </c>
      <c r="L235" s="21">
        <f>'Fiscal Forecasts'!L$20-SUM(L$232:L$234)</f>
        <v>4.0000000000000036E-3</v>
      </c>
      <c r="M235" s="21">
        <f>'Fiscal Forecasts'!M$20-SUM(M$232:M$234)</f>
        <v>2.3000000000000131E-2</v>
      </c>
      <c r="N235" s="21">
        <f>'Fiscal Forecasts'!N$20-SUM(N$232:N$234)</f>
        <v>8.0000000000000071E-3</v>
      </c>
      <c r="O235" s="24">
        <f>'Fiscal Forecasts'!O$20-SUM(O$232:O$234)</f>
        <v>-1.9999999999997797E-3</v>
      </c>
      <c r="P235" s="24">
        <f>'Fiscal Forecasts'!P$20-SUM(P$232:P$234)</f>
        <v>-6.9999999999996732E-3</v>
      </c>
      <c r="Q235" s="24">
        <f>'Fiscal Forecasts'!Q$20-SUM(Q$232:Q$234)</f>
        <v>-8.0000000000000071E-3</v>
      </c>
      <c r="R235" s="24">
        <f>'Fiscal Forecasts'!R$20-SUM(R$232:R$234)</f>
        <v>-4.9999999999998934E-3</v>
      </c>
      <c r="S235" s="24">
        <f>'Fiscal Forecasts'!S$20-SUM(S$232:S$234)</f>
        <v>-8.0000000000000071E-3</v>
      </c>
      <c r="T235" s="26">
        <f ca="1">IF(T$4=OFFSET(Choices!$B$10,0,$C$1),0,S$235)</f>
        <v>0</v>
      </c>
      <c r="U235" s="26">
        <f ca="1">IF(U$4=OFFSET(Choices!$B$10,0,$C$1),0,T$235)</f>
        <v>0</v>
      </c>
      <c r="V235" s="26">
        <f ca="1">IF(V$4=OFFSET(Choices!$B$10,0,$C$1),0,U$235)</f>
        <v>0</v>
      </c>
      <c r="W235" s="26">
        <f ca="1">IF(W$4=OFFSET(Choices!$B$10,0,$C$1),0,V$235)</f>
        <v>0</v>
      </c>
      <c r="X235" s="26">
        <f ca="1">IF(X$4=OFFSET(Choices!$B$10,0,$C$1),0,W$235)</f>
        <v>0</v>
      </c>
      <c r="Y235" s="26">
        <f ca="1">IF(Y$4=OFFSET(Choices!$B$10,0,$C$1),0,X$235)</f>
        <v>0</v>
      </c>
      <c r="Z235" s="26">
        <f ca="1">IF(Z$4=OFFSET(Choices!$B$10,0,$C$1),0,Y$235)</f>
        <v>0</v>
      </c>
      <c r="AA235" s="26">
        <f ca="1">IF(AA$4=OFFSET(Choices!$B$10,0,$C$1),0,Z$235)</f>
        <v>0</v>
      </c>
      <c r="AB235" s="26">
        <f ca="1">IF(AB$4=OFFSET(Choices!$B$10,0,$C$1),0,AA$235)</f>
        <v>0</v>
      </c>
      <c r="AC235" s="26">
        <f ca="1">IF(AC$4=OFFSET(Choices!$B$10,0,$C$1),0,AB$235)</f>
        <v>0</v>
      </c>
      <c r="AD235" s="26"/>
      <c r="AE235" s="26"/>
    </row>
    <row r="236" spans="1:31" x14ac:dyDescent="0.2">
      <c r="A236" s="31" t="s">
        <v>489</v>
      </c>
      <c r="F236" s="56">
        <f>SUM(F$232:F$235)</f>
        <v>2.9749999999999996</v>
      </c>
      <c r="G236" s="56">
        <f t="shared" ref="G236:AC236" si="151">SUM(G$232:G$235)</f>
        <v>3.5629999999999997</v>
      </c>
      <c r="H236" s="56">
        <f t="shared" si="151"/>
        <v>3.8820000000000001</v>
      </c>
      <c r="I236" s="56">
        <f t="shared" si="151"/>
        <v>3.0060000000000002</v>
      </c>
      <c r="J236" s="56">
        <f t="shared" si="151"/>
        <v>14.592000000000001</v>
      </c>
      <c r="K236" s="56">
        <f t="shared" si="151"/>
        <v>4.5759999999999996</v>
      </c>
      <c r="L236" s="56">
        <f t="shared" si="151"/>
        <v>3.0310000000000001</v>
      </c>
      <c r="M236" s="56">
        <f t="shared" si="151"/>
        <v>3.5009999999999999</v>
      </c>
      <c r="N236" s="56">
        <f t="shared" si="151"/>
        <v>4.1100000000000003</v>
      </c>
      <c r="O236" s="57">
        <f t="shared" si="151"/>
        <v>3.9969999999999999</v>
      </c>
      <c r="P236" s="57">
        <f t="shared" si="151"/>
        <v>4.1120000000000001</v>
      </c>
      <c r="Q236" s="57">
        <f t="shared" si="151"/>
        <v>4.4050000000000002</v>
      </c>
      <c r="R236" s="57">
        <f t="shared" si="151"/>
        <v>4.7510000000000003</v>
      </c>
      <c r="S236" s="57">
        <f t="shared" si="151"/>
        <v>4.9660000000000002</v>
      </c>
      <c r="T236" s="58">
        <f t="shared" ca="1" si="151"/>
        <v>5.1753771784500753</v>
      </c>
      <c r="U236" s="58">
        <f t="shared" ca="1" si="151"/>
        <v>5.4164495925083669</v>
      </c>
      <c r="V236" s="58">
        <f t="shared" ca="1" si="151"/>
        <v>5.663066064362777</v>
      </c>
      <c r="W236" s="58">
        <f t="shared" ca="1" si="151"/>
        <v>5.9332018044323664</v>
      </c>
      <c r="X236" s="58">
        <f t="shared" ca="1" si="151"/>
        <v>6.1818717707960111</v>
      </c>
      <c r="Y236" s="58">
        <f t="shared" ca="1" si="151"/>
        <v>6.4419452465867879</v>
      </c>
      <c r="Z236" s="58">
        <f t="shared" ca="1" si="151"/>
        <v>6.6965638334441131</v>
      </c>
      <c r="AA236" s="58">
        <f t="shared" ca="1" si="151"/>
        <v>6.9588782159184372</v>
      </c>
      <c r="AB236" s="58">
        <f t="shared" ca="1" si="151"/>
        <v>7.2291643475407898</v>
      </c>
      <c r="AC236" s="58">
        <f t="shared" ca="1" si="151"/>
        <v>7.5078188997863124</v>
      </c>
      <c r="AD236" s="26"/>
      <c r="AE236" s="26"/>
    </row>
    <row r="237" spans="1:31" x14ac:dyDescent="0.2">
      <c r="A237" s="3" t="s">
        <v>482</v>
      </c>
      <c r="B237" s="4" t="str">
        <f>$B$46</f>
        <v>From Fiscal Forecasts</v>
      </c>
      <c r="F237" s="21">
        <f>'Fiscal Forecasts'!F$263</f>
        <v>2.88</v>
      </c>
      <c r="G237" s="21">
        <f>'Fiscal Forecasts'!G$263</f>
        <v>3.423</v>
      </c>
      <c r="H237" s="21">
        <f>'Fiscal Forecasts'!H$263</f>
        <v>3.762</v>
      </c>
      <c r="I237" s="21">
        <f>'Fiscal Forecasts'!I$263</f>
        <v>2.9220000000000002</v>
      </c>
      <c r="J237" s="21">
        <f>'Fiscal Forecasts'!J$263</f>
        <v>2.9790000000000001</v>
      </c>
      <c r="K237" s="21">
        <f>'Fiscal Forecasts'!K$263</f>
        <v>3.01</v>
      </c>
      <c r="L237" s="21">
        <f>'Fiscal Forecasts'!L$263</f>
        <v>3.133</v>
      </c>
      <c r="M237" s="21">
        <f>'Fiscal Forecasts'!M$263</f>
        <v>3.484</v>
      </c>
      <c r="N237" s="21">
        <f>'Fiscal Forecasts'!N$263</f>
        <v>4.1040000000000001</v>
      </c>
      <c r="O237" s="24">
        <f>'Fiscal Forecasts'!O$263</f>
        <v>3.97</v>
      </c>
      <c r="P237" s="24">
        <f>'Fiscal Forecasts'!P$263</f>
        <v>4.0919999999999996</v>
      </c>
      <c r="Q237" s="24">
        <f>'Fiscal Forecasts'!Q$263</f>
        <v>4.2430000000000003</v>
      </c>
      <c r="R237" s="24">
        <f>'Fiscal Forecasts'!R$263</f>
        <v>4.5430000000000001</v>
      </c>
      <c r="S237" s="24">
        <f>'Fiscal Forecasts'!S$263</f>
        <v>4.7539999999999996</v>
      </c>
      <c r="T237" s="26">
        <f>S$237*Tracks!T$31/Tracks!S$31</f>
        <v>4.966494647973188</v>
      </c>
      <c r="U237" s="26">
        <f>T$237*Tracks!U$31/Tracks!T$31</f>
        <v>5.1983071759730226</v>
      </c>
      <c r="V237" s="26">
        <f>U$237*Tracks!V$31/Tracks!U$31</f>
        <v>5.4351311435526988</v>
      </c>
      <c r="W237" s="26">
        <f>V$237*Tracks!W$31/Tracks!V$31</f>
        <v>5.6951103683274198</v>
      </c>
      <c r="X237" s="26">
        <f>W$237*Tracks!X$31/Tracks!W$31</f>
        <v>5.9332049443782635</v>
      </c>
      <c r="Y237" s="26">
        <f>X$237*Tracks!Y$31/Tracks!X$31</f>
        <v>6.1823611118730755</v>
      </c>
      <c r="Z237" s="26">
        <f>Y$237*Tracks!Z$31/Tracks!Y$31</f>
        <v>6.4257427042929987</v>
      </c>
      <c r="AA237" s="26">
        <f>Z$237*Tracks!AA$31/Tracks!Z$31</f>
        <v>6.6764925003526825</v>
      </c>
      <c r="AB237" s="26">
        <f>AA$237*Tracks!AB$31/Tracks!AA$31</f>
        <v>6.9349311105537152</v>
      </c>
      <c r="AC237" s="26">
        <f>AB$237*Tracks!AC$31/Tracks!AB$31</f>
        <v>7.2013934604927892</v>
      </c>
      <c r="AD237" s="26"/>
      <c r="AE237" s="26"/>
    </row>
    <row r="238" spans="1:31" x14ac:dyDescent="0.2">
      <c r="A238" s="3" t="s">
        <v>483</v>
      </c>
      <c r="B238" s="4" t="str">
        <f>$B$46</f>
        <v>From Fiscal Forecasts</v>
      </c>
      <c r="F238" s="21">
        <f>'Fiscal Forecasts'!F$264</f>
        <v>7.6999999999999999E-2</v>
      </c>
      <c r="G238" s="21">
        <f>'Fiscal Forecasts'!G$264</f>
        <v>0.13</v>
      </c>
      <c r="H238" s="21">
        <f>'Fiscal Forecasts'!H$264</f>
        <v>8.7999999999999995E-2</v>
      </c>
      <c r="I238" s="21">
        <f>'Fiscal Forecasts'!I$264</f>
        <v>6.4000000000000001E-2</v>
      </c>
      <c r="J238" s="21">
        <f>'Fiscal Forecasts'!J$264</f>
        <v>11.776</v>
      </c>
      <c r="K238" s="21">
        <f>'Fiscal Forecasts'!K$264</f>
        <v>1.073</v>
      </c>
      <c r="L238" s="21">
        <f>'Fiscal Forecasts'!L$264</f>
        <v>-0.10299999999999999</v>
      </c>
      <c r="M238" s="21">
        <f>'Fiscal Forecasts'!M$264</f>
        <v>-0.111</v>
      </c>
      <c r="N238" s="21">
        <f>'Fiscal Forecasts'!N$264</f>
        <v>-0.35699999999999998</v>
      </c>
      <c r="O238" s="24">
        <f>'Fiscal Forecasts'!O$264</f>
        <v>0.05</v>
      </c>
      <c r="P238" s="24">
        <f>'Fiscal Forecasts'!P$264</f>
        <v>5.2999999999999999E-2</v>
      </c>
      <c r="Q238" s="24">
        <f>'Fiscal Forecasts'!Q$264</f>
        <v>0.17199999999999999</v>
      </c>
      <c r="R238" s="24">
        <f>'Fiscal Forecasts'!R$264</f>
        <v>0.20100000000000001</v>
      </c>
      <c r="S238" s="24">
        <f>'Fiscal Forecasts'!S$264</f>
        <v>0.2</v>
      </c>
      <c r="T238" s="26">
        <f t="shared" ref="T238:AC238" ca="1" si="152">S$238*T$11/S$11</f>
        <v>0.20888253047688751</v>
      </c>
      <c r="U238" s="26">
        <f t="shared" ca="1" si="152"/>
        <v>0.21814241653534455</v>
      </c>
      <c r="V238" s="26">
        <f t="shared" ca="1" si="152"/>
        <v>0.22793492081007871</v>
      </c>
      <c r="W238" s="26">
        <f t="shared" ca="1" si="152"/>
        <v>0.23809143610494651</v>
      </c>
      <c r="X238" s="26">
        <f t="shared" ca="1" si="152"/>
        <v>0.24866682641774721</v>
      </c>
      <c r="Y238" s="26">
        <f t="shared" ca="1" si="152"/>
        <v>0.25958413471371256</v>
      </c>
      <c r="Z238" s="26">
        <f t="shared" ca="1" si="152"/>
        <v>0.27082112915111423</v>
      </c>
      <c r="AA238" s="26">
        <f t="shared" ca="1" si="152"/>
        <v>0.2823857155657552</v>
      </c>
      <c r="AB238" s="26">
        <f t="shared" ca="1" si="152"/>
        <v>0.29423323698707476</v>
      </c>
      <c r="AC238" s="26">
        <f t="shared" ca="1" si="152"/>
        <v>0.30642543929352328</v>
      </c>
      <c r="AD238" s="26"/>
      <c r="AE238" s="26"/>
    </row>
    <row r="239" spans="1:31" x14ac:dyDescent="0.2">
      <c r="A239" s="3" t="s">
        <v>488</v>
      </c>
      <c r="B239" s="4"/>
      <c r="F239" s="21">
        <f>F$236-SUM(F$237:F$238)</f>
        <v>1.7999999999999794E-2</v>
      </c>
      <c r="G239" s="21">
        <f>G$236-SUM(G$237:G$238)</f>
        <v>9.9999999999997868E-3</v>
      </c>
      <c r="H239" s="21">
        <f t="shared" ref="H239:S239" si="153">H$236-SUM(H$237:H$238)</f>
        <v>3.2000000000000028E-2</v>
      </c>
      <c r="I239" s="21">
        <f t="shared" si="153"/>
        <v>2.0000000000000018E-2</v>
      </c>
      <c r="J239" s="21">
        <f t="shared" si="153"/>
        <v>-0.16299999999999848</v>
      </c>
      <c r="K239" s="21">
        <f t="shared" si="153"/>
        <v>0.49299999999999944</v>
      </c>
      <c r="L239" s="21">
        <f t="shared" si="153"/>
        <v>1.000000000000334E-3</v>
      </c>
      <c r="M239" s="21">
        <f t="shared" si="153"/>
        <v>0.12800000000000011</v>
      </c>
      <c r="N239" s="21">
        <f t="shared" si="153"/>
        <v>0.36300000000000043</v>
      </c>
      <c r="O239" s="24">
        <f t="shared" si="153"/>
        <v>-2.3000000000000576E-2</v>
      </c>
      <c r="P239" s="24">
        <f t="shared" si="153"/>
        <v>-3.2999999999999474E-2</v>
      </c>
      <c r="Q239" s="24">
        <f t="shared" si="153"/>
        <v>-9.9999999999997868E-3</v>
      </c>
      <c r="R239" s="24">
        <f t="shared" si="153"/>
        <v>7.0000000000005613E-3</v>
      </c>
      <c r="S239" s="24">
        <f t="shared" si="153"/>
        <v>1.2000000000000455E-2</v>
      </c>
      <c r="T239" s="26">
        <f ca="1">IF(T$4=OFFSET(Choices!$B$10,0,$C$1),0,S$239)</f>
        <v>0</v>
      </c>
      <c r="U239" s="26">
        <f ca="1">IF(U$4=OFFSET(Choices!$B$10,0,$C$1),0,T$239)</f>
        <v>0</v>
      </c>
      <c r="V239" s="26">
        <f ca="1">IF(V$4=OFFSET(Choices!$B$10,0,$C$1),0,U$239)</f>
        <v>0</v>
      </c>
      <c r="W239" s="26">
        <f ca="1">IF(W$4=OFFSET(Choices!$B$10,0,$C$1),0,V$239)</f>
        <v>0</v>
      </c>
      <c r="X239" s="26">
        <f ca="1">IF(X$4=OFFSET(Choices!$B$10,0,$C$1),0,W$239)</f>
        <v>0</v>
      </c>
      <c r="Y239" s="26">
        <f ca="1">IF(Y$4=OFFSET(Choices!$B$10,0,$C$1),0,X$239)</f>
        <v>0</v>
      </c>
      <c r="Z239" s="26">
        <f ca="1">IF(Z$4=OFFSET(Choices!$B$10,0,$C$1),0,Y$239)</f>
        <v>0</v>
      </c>
      <c r="AA239" s="26">
        <f ca="1">IF(AA$4=OFFSET(Choices!$B$10,0,$C$1),0,Z$239)</f>
        <v>0</v>
      </c>
      <c r="AB239" s="26">
        <f ca="1">IF(AB$4=OFFSET(Choices!$B$10,0,$C$1),0,AA$239)</f>
        <v>0</v>
      </c>
      <c r="AC239" s="26">
        <f ca="1">IF(AC$4=OFFSET(Choices!$B$10,0,$C$1),0,AB$239)</f>
        <v>0</v>
      </c>
      <c r="AD239" s="26"/>
      <c r="AE239" s="26"/>
    </row>
    <row r="240" spans="1:31" x14ac:dyDescent="0.2">
      <c r="T240" s="26"/>
      <c r="U240" s="26"/>
      <c r="V240" s="26"/>
      <c r="W240" s="26"/>
      <c r="X240" s="26"/>
      <c r="Y240" s="26"/>
      <c r="Z240" s="26"/>
      <c r="AA240" s="26"/>
      <c r="AB240" s="26"/>
      <c r="AC240" s="26"/>
      <c r="AD240" s="26"/>
      <c r="AE240" s="26"/>
    </row>
    <row r="241" spans="1:31" x14ac:dyDescent="0.2">
      <c r="A241" s="31" t="s">
        <v>235</v>
      </c>
      <c r="B241" s="4" t="str">
        <f>$B$46</f>
        <v>From Fiscal Forecasts</v>
      </c>
      <c r="F241" s="23">
        <f>'Fiscal Forecasts'!F$21</f>
        <v>0</v>
      </c>
      <c r="G241" s="23">
        <f>'Fiscal Forecasts'!G$21</f>
        <v>0</v>
      </c>
      <c r="H241" s="23">
        <f>'Fiscal Forecasts'!H$21</f>
        <v>0</v>
      </c>
      <c r="I241" s="23">
        <f>'Fiscal Forecasts'!I$21</f>
        <v>0</v>
      </c>
      <c r="J241" s="23">
        <f>'Fiscal Forecasts'!J$21</f>
        <v>0</v>
      </c>
      <c r="K241" s="23">
        <f>'Fiscal Forecasts'!K$21</f>
        <v>0</v>
      </c>
      <c r="L241" s="23">
        <f>'Fiscal Forecasts'!L$21</f>
        <v>0</v>
      </c>
      <c r="M241" s="23">
        <f>'Fiscal Forecasts'!M$21</f>
        <v>0</v>
      </c>
      <c r="N241" s="23">
        <f>'Fiscal Forecasts'!N$21 +IF($D$2="Yes",'Fiscal Forecast Adjuster'!E$29,0)/1000</f>
        <v>0</v>
      </c>
      <c r="O241" s="25">
        <f>'Fiscal Forecasts'!O$21 +IF($D$2="Yes",'Fiscal Forecast Adjuster'!F$29,0)/1000</f>
        <v>0.27100000000000002</v>
      </c>
      <c r="P241" s="25">
        <f>'Fiscal Forecasts'!P$21 +IF($D$2="Yes",'Fiscal Forecast Adjuster'!G$29,0)/1000</f>
        <v>1.123</v>
      </c>
      <c r="Q241" s="25">
        <f>'Fiscal Forecasts'!Q$21 +IF($D$2="Yes",'Fiscal Forecast Adjuster'!H$29,0)/1000</f>
        <v>3.681</v>
      </c>
      <c r="R241" s="25">
        <f>'Fiscal Forecasts'!R$21 +IF($D$2="Yes",'Fiscal Forecast Adjuster'!I$29,0)/1000</f>
        <v>5.3650000000000002</v>
      </c>
      <c r="S241" s="25">
        <f>'Fiscal Forecasts'!S$21 +IF($D$2="Yes",'Fiscal Forecast Adjuster'!J$29,0)/1000</f>
        <v>6.9359999999999999</v>
      </c>
      <c r="T241" s="26">
        <f t="shared" ref="T241:AC241" ca="1" si="154">S$241+T$242</f>
        <v>8.4969999999999999</v>
      </c>
      <c r="U241" s="26">
        <f t="shared" ca="1" si="154"/>
        <v>10.089219999999999</v>
      </c>
      <c r="V241" s="26">
        <f t="shared" ca="1" si="154"/>
        <v>11.713284399999999</v>
      </c>
      <c r="W241" s="26">
        <f t="shared" ca="1" si="154"/>
        <v>13.369830087999999</v>
      </c>
      <c r="X241" s="26">
        <f t="shared" ca="1" si="154"/>
        <v>15.059506689759999</v>
      </c>
      <c r="Y241" s="26">
        <f t="shared" ca="1" si="154"/>
        <v>16.782976823555199</v>
      </c>
      <c r="Z241" s="26">
        <f t="shared" ca="1" si="154"/>
        <v>18.540916360026301</v>
      </c>
      <c r="AA241" s="26">
        <f t="shared" ca="1" si="154"/>
        <v>20.334014687226826</v>
      </c>
      <c r="AB241" s="26">
        <f t="shared" ca="1" si="154"/>
        <v>22.162974980971363</v>
      </c>
      <c r="AC241" s="26">
        <f t="shared" ca="1" si="154"/>
        <v>24.02851448059079</v>
      </c>
      <c r="AD241" s="26"/>
      <c r="AE241" s="26"/>
    </row>
    <row r="242" spans="1:31" x14ac:dyDescent="0.2">
      <c r="A242" s="3" t="s">
        <v>491</v>
      </c>
      <c r="G242" s="21">
        <f>G$241-F$241</f>
        <v>0</v>
      </c>
      <c r="H242" s="21">
        <f t="shared" ref="H242:N242" si="155">H$241-G$241</f>
        <v>0</v>
      </c>
      <c r="I242" s="21">
        <f t="shared" si="155"/>
        <v>0</v>
      </c>
      <c r="J242" s="21">
        <f t="shared" si="155"/>
        <v>0</v>
      </c>
      <c r="K242" s="21">
        <f t="shared" si="155"/>
        <v>0</v>
      </c>
      <c r="L242" s="21">
        <f t="shared" si="155"/>
        <v>0</v>
      </c>
      <c r="M242" s="21">
        <f t="shared" si="155"/>
        <v>0</v>
      </c>
      <c r="N242" s="21">
        <f t="shared" si="155"/>
        <v>0</v>
      </c>
      <c r="O242" s="24">
        <f>O$241-N$241</f>
        <v>0.27100000000000002</v>
      </c>
      <c r="P242" s="24">
        <f>P$241-O$241</f>
        <v>0.85199999999999998</v>
      </c>
      <c r="Q242" s="24">
        <f>Q$241-P$241</f>
        <v>2.5579999999999998</v>
      </c>
      <c r="R242" s="24">
        <f>R$241-Q$241</f>
        <v>1.6840000000000002</v>
      </c>
      <c r="S242" s="24">
        <f>S$241-R$241</f>
        <v>1.5709999999999997</v>
      </c>
      <c r="T242" s="26">
        <f ca="1">IF(T$4=OFFSET(Choices!$B$10,0,$C$1),OFFSET(Choices!$B$50,0,$C$1),S$242*(1+OFFSET(Choices!$B$52,0,$C$1)))</f>
        <v>1.5609999999999999</v>
      </c>
      <c r="U242" s="26">
        <f ca="1">IF(U$4=OFFSET(Choices!$B$10,0,$C$1),OFFSET(Choices!$B$50,0,$C$1),T$242*(1+OFFSET(Choices!$B$52,0,$C$1)))</f>
        <v>1.59222</v>
      </c>
      <c r="V242" s="26">
        <f ca="1">IF(V$4=OFFSET(Choices!$B$10,0,$C$1),OFFSET(Choices!$B$50,0,$C$1),U$242*(1+OFFSET(Choices!$B$52,0,$C$1)))</f>
        <v>1.6240644</v>
      </c>
      <c r="W242" s="26">
        <f ca="1">IF(W$4=OFFSET(Choices!$B$10,0,$C$1),OFFSET(Choices!$B$50,0,$C$1),V$242*(1+OFFSET(Choices!$B$52,0,$C$1)))</f>
        <v>1.656545688</v>
      </c>
      <c r="X242" s="26">
        <f ca="1">IF(X$4=OFFSET(Choices!$B$10,0,$C$1),OFFSET(Choices!$B$50,0,$C$1),W$242*(1+OFFSET(Choices!$B$52,0,$C$1)))</f>
        <v>1.68967660176</v>
      </c>
      <c r="Y242" s="26">
        <f ca="1">IF(Y$4=OFFSET(Choices!$B$10,0,$C$1),OFFSET(Choices!$B$50,0,$C$1),X$242*(1+OFFSET(Choices!$B$52,0,$C$1)))</f>
        <v>1.7234701337952001</v>
      </c>
      <c r="Z242" s="26">
        <f ca="1">IF(Z$4=OFFSET(Choices!$B$10,0,$C$1),OFFSET(Choices!$B$50,0,$C$1),Y$242*(1+OFFSET(Choices!$B$52,0,$C$1)))</f>
        <v>1.7579395364711041</v>
      </c>
      <c r="AA242" s="26">
        <f ca="1">IF(AA$4=OFFSET(Choices!$B$10,0,$C$1),OFFSET(Choices!$B$50,0,$C$1),Z$242*(1+OFFSET(Choices!$B$52,0,$C$1)))</f>
        <v>1.7930983272005263</v>
      </c>
      <c r="AB242" s="26">
        <f ca="1">IF(AB$4=OFFSET(Choices!$B$10,0,$C$1),OFFSET(Choices!$B$50,0,$C$1),AA$242*(1+OFFSET(Choices!$B$52,0,$C$1)))</f>
        <v>1.8289602937445368</v>
      </c>
      <c r="AC242" s="26">
        <f ca="1">IF(AC$4=OFFSET(Choices!$B$10,0,$C$1),OFFSET(Choices!$B$50,0,$C$1),AB$242*(1+OFFSET(Choices!$B$52,0,$C$1)))</f>
        <v>1.8655394996194277</v>
      </c>
      <c r="AD242" s="26"/>
      <c r="AE242" s="26"/>
    </row>
    <row r="243" spans="1:31" x14ac:dyDescent="0.2">
      <c r="A243" s="3" t="s">
        <v>236</v>
      </c>
      <c r="B243" s="4" t="str">
        <f>$B$46</f>
        <v>From Fiscal Forecasts</v>
      </c>
      <c r="F243" s="21">
        <f>'Fiscal Forecasts'!F$22</f>
        <v>0</v>
      </c>
      <c r="G243" s="21">
        <f>'Fiscal Forecasts'!G$22</f>
        <v>0</v>
      </c>
      <c r="H243" s="21">
        <f>'Fiscal Forecasts'!H$22</f>
        <v>0</v>
      </c>
      <c r="I243" s="21">
        <f>'Fiscal Forecasts'!I$22</f>
        <v>0</v>
      </c>
      <c r="J243" s="21">
        <f>'Fiscal Forecasts'!J$22</f>
        <v>0</v>
      </c>
      <c r="K243" s="21">
        <f>'Fiscal Forecasts'!K$22</f>
        <v>0</v>
      </c>
      <c r="L243" s="21">
        <f>'Fiscal Forecasts'!L$22</f>
        <v>0</v>
      </c>
      <c r="M243" s="21">
        <f>'Fiscal Forecasts'!M$22</f>
        <v>0</v>
      </c>
      <c r="N243" s="21">
        <f>'Fiscal Forecasts'!N$22</f>
        <v>0</v>
      </c>
      <c r="O243" s="24">
        <f>'Fiscal Forecasts'!O$22</f>
        <v>-1.0249999999999999</v>
      </c>
      <c r="P243" s="24">
        <f>'Fiscal Forecasts'!P$22</f>
        <v>-0.6</v>
      </c>
      <c r="Q243" s="24">
        <f>'Fiscal Forecasts'!Q$22</f>
        <v>-0.47499999999999998</v>
      </c>
      <c r="R243" s="24">
        <f>'Fiscal Forecasts'!R$22</f>
        <v>-0.45</v>
      </c>
      <c r="S243" s="24">
        <f>'Fiscal Forecasts'!S$22</f>
        <v>-0.5</v>
      </c>
      <c r="T243" s="26">
        <f ca="1">S$243*(1+OFFSET(Choices!$B$52,0,$C$1))</f>
        <v>-0.51</v>
      </c>
      <c r="U243" s="26">
        <f ca="1">T$243*(1+OFFSET(Choices!$B$52,0,$C$1))</f>
        <v>-0.5202</v>
      </c>
      <c r="V243" s="26">
        <f ca="1">U$243*(1+OFFSET(Choices!$B$52,0,$C$1))</f>
        <v>-0.53060399999999996</v>
      </c>
      <c r="W243" s="26">
        <f ca="1">V$243*(1+OFFSET(Choices!$B$52,0,$C$1))</f>
        <v>-0.54121607999999999</v>
      </c>
      <c r="X243" s="26">
        <f ca="1">W$243*(1+OFFSET(Choices!$B$52,0,$C$1))</f>
        <v>-0.55204040160000001</v>
      </c>
      <c r="Y243" s="26">
        <f ca="1">X$243*(1+OFFSET(Choices!$B$52,0,$C$1))</f>
        <v>-0.56308120963200003</v>
      </c>
      <c r="Z243" s="26">
        <f ca="1">Y$243*(1+OFFSET(Choices!$B$52,0,$C$1))</f>
        <v>-0.57434283382464002</v>
      </c>
      <c r="AA243" s="26">
        <f ca="1">Z$243*(1+OFFSET(Choices!$B$52,0,$C$1))</f>
        <v>-0.58582969050113287</v>
      </c>
      <c r="AB243" s="26">
        <f ca="1">AA$243*(1+OFFSET(Choices!$B$52,0,$C$1))</f>
        <v>-0.59754628431115553</v>
      </c>
      <c r="AC243" s="26">
        <f ca="1">AB$243*(1+OFFSET(Choices!$B$52,0,$C$1))</f>
        <v>-0.60949720999737866</v>
      </c>
      <c r="AD243" s="26"/>
      <c r="AE243" s="26"/>
    </row>
    <row r="244" spans="1:31" x14ac:dyDescent="0.2">
      <c r="AD244" s="26"/>
      <c r="AE244" s="26"/>
    </row>
    <row r="245" spans="1:31" x14ac:dyDescent="0.2">
      <c r="A245" s="31" t="s">
        <v>497</v>
      </c>
      <c r="B245" s="4" t="str">
        <f>$B$46</f>
        <v>From Fiscal Forecasts</v>
      </c>
      <c r="F245" s="23">
        <f>'Fiscal Forecasts'!F$53</f>
        <v>0.64500000000000002</v>
      </c>
      <c r="G245" s="23">
        <f>'Fiscal Forecasts'!G$53</f>
        <v>0.69</v>
      </c>
      <c r="H245" s="23">
        <f>'Fiscal Forecasts'!H$53</f>
        <v>0.65500000000000003</v>
      </c>
      <c r="I245" s="23">
        <f>'Fiscal Forecasts'!I$53</f>
        <v>0.32800000000000001</v>
      </c>
      <c r="J245" s="23">
        <f>'Fiscal Forecasts'!J$53</f>
        <v>0.30499999999999999</v>
      </c>
      <c r="K245" s="23">
        <f>'Fiscal Forecasts'!K$53</f>
        <v>0.192</v>
      </c>
      <c r="L245" s="23">
        <f>'Fiscal Forecasts'!L$53</f>
        <v>0.30299999999999999</v>
      </c>
      <c r="M245" s="23">
        <f>'Fiscal Forecasts'!M$53</f>
        <v>0.28199999999999997</v>
      </c>
      <c r="N245" s="23">
        <f>'Fiscal Forecasts'!N$53</f>
        <v>0.35799999999999998</v>
      </c>
      <c r="O245" s="25">
        <f>'Fiscal Forecasts'!O$53</f>
        <v>0.26500000000000001</v>
      </c>
      <c r="P245" s="25">
        <f>'Fiscal Forecasts'!P$53</f>
        <v>0.20599999999999999</v>
      </c>
      <c r="Q245" s="25">
        <f>'Fiscal Forecasts'!Q$53</f>
        <v>0.20799999999999999</v>
      </c>
      <c r="R245" s="25">
        <f>'Fiscal Forecasts'!R$53</f>
        <v>0.219</v>
      </c>
      <c r="S245" s="25">
        <f>'Fiscal Forecasts'!S$53</f>
        <v>0.23</v>
      </c>
      <c r="T245" s="11">
        <f>S$245*Tracks!T$41/Tracks!S$41</f>
        <v>0.22372727272727272</v>
      </c>
      <c r="U245" s="11">
        <f>T$245*Tracks!U$41/Tracks!T$41</f>
        <v>0.21588636363636363</v>
      </c>
      <c r="V245" s="11">
        <f>U$245*Tracks!V$41/Tracks!U$41</f>
        <v>0.21222727272727274</v>
      </c>
      <c r="W245" s="11">
        <f>V$245*Tracks!W$41/Tracks!V$41</f>
        <v>0.21379545454545451</v>
      </c>
      <c r="X245" s="11">
        <f>W$245*Tracks!X$41/Tracks!W$41</f>
        <v>0.21484090909090905</v>
      </c>
      <c r="Y245" s="11">
        <f>X$245*Tracks!Y$41/Tracks!X$41</f>
        <v>0.2158863636363636</v>
      </c>
      <c r="Z245" s="11">
        <f>Y$245*Tracks!Z$41/Tracks!Y$41</f>
        <v>0.21640909090909086</v>
      </c>
      <c r="AA245" s="11">
        <f>Z$245*Tracks!AA$41/Tracks!Z$41</f>
        <v>0.21379545454545448</v>
      </c>
      <c r="AB245" s="11">
        <f>AA$245*Tracks!AB$41/Tracks!AA$41</f>
        <v>0.20543181818181813</v>
      </c>
      <c r="AC245" s="11">
        <f>AB$245*Tracks!AC$41/Tracks!AB$41</f>
        <v>0.19759090909090901</v>
      </c>
      <c r="AD245" s="26"/>
      <c r="AE245" s="26"/>
    </row>
    <row r="246" spans="1:31" x14ac:dyDescent="0.2">
      <c r="A246" s="31" t="s">
        <v>498</v>
      </c>
      <c r="B246" s="4" t="str">
        <f>$B$46</f>
        <v>From Fiscal Forecasts</v>
      </c>
      <c r="F246" s="23">
        <f>'Fiscal Forecasts'!F$36</f>
        <v>0.64500000000000002</v>
      </c>
      <c r="G246" s="23">
        <f>'Fiscal Forecasts'!G$36</f>
        <v>0.69</v>
      </c>
      <c r="H246" s="23">
        <f>'Fiscal Forecasts'!H$36</f>
        <v>0.65500000000000003</v>
      </c>
      <c r="I246" s="23">
        <f>'Fiscal Forecasts'!I$36</f>
        <v>0.33300000000000002</v>
      </c>
      <c r="J246" s="23">
        <f>'Fiscal Forecasts'!J$36</f>
        <v>0.311</v>
      </c>
      <c r="K246" s="23">
        <f>'Fiscal Forecasts'!K$36</f>
        <v>0.19700000000000001</v>
      </c>
      <c r="L246" s="23">
        <f>'Fiscal Forecasts'!L$36</f>
        <v>0.311</v>
      </c>
      <c r="M246" s="23">
        <f>'Fiscal Forecasts'!M$36</f>
        <v>0.29499999999999998</v>
      </c>
      <c r="N246" s="23">
        <f>'Fiscal Forecasts'!N$36</f>
        <v>0.373</v>
      </c>
      <c r="O246" s="25">
        <f>'Fiscal Forecasts'!O$36</f>
        <v>0.28299999999999997</v>
      </c>
      <c r="P246" s="25">
        <f>'Fiscal Forecasts'!P$36</f>
        <v>0.224</v>
      </c>
      <c r="Q246" s="25">
        <f>'Fiscal Forecasts'!Q$36</f>
        <v>0.22600000000000001</v>
      </c>
      <c r="R246" s="25">
        <f>'Fiscal Forecasts'!R$36</f>
        <v>0.23699999999999999</v>
      </c>
      <c r="S246" s="25">
        <f>'Fiscal Forecasts'!S$36</f>
        <v>0.248</v>
      </c>
      <c r="T246" s="11">
        <f>S$246*Tracks!T$41/Tracks!S$41</f>
        <v>0.24123636363636364</v>
      </c>
      <c r="U246" s="11">
        <f>T$246*Tracks!U$41/Tracks!T$41</f>
        <v>0.23278181818181817</v>
      </c>
      <c r="V246" s="11">
        <f>U$246*Tracks!V$41/Tracks!U$41</f>
        <v>0.22883636363636364</v>
      </c>
      <c r="W246" s="11">
        <f>V$246*Tracks!W$41/Tracks!V$41</f>
        <v>0.23052727272727272</v>
      </c>
      <c r="X246" s="11">
        <f>W$246*Tracks!X$41/Tracks!W$41</f>
        <v>0.23165454545454545</v>
      </c>
      <c r="Y246" s="11">
        <f>X$246*Tracks!Y$41/Tracks!X$41</f>
        <v>0.23278181818181817</v>
      </c>
      <c r="Z246" s="11">
        <f>Y$246*Tracks!Z$41/Tracks!Y$41</f>
        <v>0.23334545454545455</v>
      </c>
      <c r="AA246" s="11">
        <f>Z$246*Tracks!AA$41/Tracks!Z$41</f>
        <v>0.23052727272727275</v>
      </c>
      <c r="AB246" s="11">
        <f>AA$246*Tracks!AB$41/Tracks!AA$41</f>
        <v>0.22150909090909096</v>
      </c>
      <c r="AC246" s="11">
        <f>AB$246*Tracks!AC$41/Tracks!AB$41</f>
        <v>0.21305454545454552</v>
      </c>
      <c r="AD246" s="26"/>
      <c r="AE246" s="26"/>
    </row>
    <row r="247" spans="1:31" x14ac:dyDescent="0.2">
      <c r="A247" s="31"/>
      <c r="B247" s="4"/>
      <c r="AD247" s="26"/>
      <c r="AE247" s="26"/>
    </row>
    <row r="248" spans="1:31" x14ac:dyDescent="0.2">
      <c r="A248" s="31" t="s">
        <v>737</v>
      </c>
      <c r="AD248" s="26"/>
      <c r="AE248" s="26"/>
    </row>
    <row r="249" spans="1:31" x14ac:dyDescent="0.2">
      <c r="A249" s="3" t="s">
        <v>412</v>
      </c>
      <c r="B249" s="4" t="str">
        <f>$B$46</f>
        <v>From Fiscal Forecasts</v>
      </c>
      <c r="F249" s="21">
        <f>'Fiscal Forecasts'!F$54</f>
        <v>10.355</v>
      </c>
      <c r="G249" s="21">
        <f>'Fiscal Forecasts'!G$54</f>
        <v>11.297000000000001</v>
      </c>
      <c r="H249" s="21">
        <f>'Fiscal Forecasts'!H$54</f>
        <v>12.368</v>
      </c>
      <c r="I249" s="21">
        <f>'Fiscal Forecasts'!I$54</f>
        <v>13.128</v>
      </c>
      <c r="J249" s="21">
        <f>'Fiscal Forecasts'!J$54</f>
        <v>13.753</v>
      </c>
      <c r="K249" s="21">
        <f>'Fiscal Forecasts'!K$54</f>
        <v>14.16</v>
      </c>
      <c r="L249" s="21">
        <f>'Fiscal Forecasts'!L$54</f>
        <v>14.497999999999999</v>
      </c>
      <c r="M249" s="21">
        <f>'Fiscal Forecasts'!M$54</f>
        <v>14.898</v>
      </c>
      <c r="N249" s="21">
        <f>'Fiscal Forecasts'!N$54</f>
        <v>15.058</v>
      </c>
      <c r="O249" s="24">
        <f>'Fiscal Forecasts'!O$54</f>
        <v>15.601000000000001</v>
      </c>
      <c r="P249" s="24">
        <f>'Fiscal Forecasts'!P$54</f>
        <v>15.616</v>
      </c>
      <c r="Q249" s="24">
        <f>'Fiscal Forecasts'!Q$54</f>
        <v>15.667999999999999</v>
      </c>
      <c r="R249" s="24">
        <f>'Fiscal Forecasts'!R$54</f>
        <v>15.734999999999999</v>
      </c>
      <c r="S249" s="24">
        <f>'Fiscal Forecasts'!S$54</f>
        <v>15.733000000000001</v>
      </c>
      <c r="T249" s="26">
        <f t="shared" ref="T249:AC249" si="156">S$249</f>
        <v>15.733000000000001</v>
      </c>
      <c r="U249" s="26">
        <f t="shared" si="156"/>
        <v>15.733000000000001</v>
      </c>
      <c r="V249" s="26">
        <f t="shared" si="156"/>
        <v>15.733000000000001</v>
      </c>
      <c r="W249" s="26">
        <f t="shared" si="156"/>
        <v>15.733000000000001</v>
      </c>
      <c r="X249" s="26">
        <f t="shared" si="156"/>
        <v>15.733000000000001</v>
      </c>
      <c r="Y249" s="26">
        <f t="shared" si="156"/>
        <v>15.733000000000001</v>
      </c>
      <c r="Z249" s="26">
        <f t="shared" si="156"/>
        <v>15.733000000000001</v>
      </c>
      <c r="AA249" s="26">
        <f t="shared" si="156"/>
        <v>15.733000000000001</v>
      </c>
      <c r="AB249" s="26">
        <f t="shared" si="156"/>
        <v>15.733000000000001</v>
      </c>
      <c r="AC249" s="26">
        <f t="shared" si="156"/>
        <v>15.733000000000001</v>
      </c>
      <c r="AD249" s="26"/>
      <c r="AE249" s="26"/>
    </row>
    <row r="250" spans="1:31" x14ac:dyDescent="0.2">
      <c r="A250" s="3" t="s">
        <v>413</v>
      </c>
      <c r="B250" s="4" t="str">
        <f>$B$46</f>
        <v>From Fiscal Forecasts</v>
      </c>
      <c r="F250" s="21">
        <f>'Fiscal Forecasts'!F$172</f>
        <v>8.9719999999999995</v>
      </c>
      <c r="G250" s="21">
        <f>'Fiscal Forecasts'!G$172</f>
        <v>9.7910000000000004</v>
      </c>
      <c r="H250" s="21">
        <f>'Fiscal Forecasts'!H$172</f>
        <v>10.839</v>
      </c>
      <c r="I250" s="21">
        <f>'Fiscal Forecasts'!I$172</f>
        <v>11.07</v>
      </c>
      <c r="J250" s="21">
        <f>'Fiscal Forecasts'!J$172</f>
        <v>11.467000000000001</v>
      </c>
      <c r="K250" s="21">
        <f>'Fiscal Forecasts'!K$172</f>
        <v>11.907</v>
      </c>
      <c r="L250" s="21">
        <f>'Fiscal Forecasts'!L$172</f>
        <v>12.236000000000001</v>
      </c>
      <c r="M250" s="21">
        <f>'Fiscal Forecasts'!M$172</f>
        <v>12.64</v>
      </c>
      <c r="N250" s="21">
        <f>'Fiscal Forecasts'!N$172</f>
        <v>12.922000000000001</v>
      </c>
      <c r="O250" s="24">
        <f>'Fiscal Forecasts'!O$172</f>
        <v>13.218999999999999</v>
      </c>
      <c r="P250" s="24">
        <f>'Fiscal Forecasts'!P$172</f>
        <v>13.166</v>
      </c>
      <c r="Q250" s="24">
        <f>'Fiscal Forecasts'!Q$172</f>
        <v>13.151</v>
      </c>
      <c r="R250" s="24">
        <f>'Fiscal Forecasts'!R$172</f>
        <v>13.156000000000001</v>
      </c>
      <c r="S250" s="24">
        <f>'Fiscal Forecasts'!S$172</f>
        <v>13.148999999999999</v>
      </c>
      <c r="T250" s="26">
        <f ca="1">IF(T$4=OFFSET(Choices!$B$10,0,$C$1),AVERAGE(Q$250/Q$249,R$250/R$249,S$250/S$249),S$250/S$249)*T$249</f>
        <v>13.169628606865688</v>
      </c>
      <c r="U250" s="26">
        <f ca="1">IF(U$4=OFFSET(Choices!$B$10,0,$C$1),AVERAGE(R$250/R$249,S$250/S$249,T$250/T$249),T$250/T$249)*U$249</f>
        <v>13.169628606865688</v>
      </c>
      <c r="V250" s="26">
        <f ca="1">IF(V$4=OFFSET(Choices!$B$10,0,$C$1),AVERAGE(S$250/S$249,T$250/T$249,U$250/U$249),U$250/U$249)*V$249</f>
        <v>13.169628606865688</v>
      </c>
      <c r="W250" s="26">
        <f ca="1">IF(W$4=OFFSET(Choices!$B$10,0,$C$1),AVERAGE(T$250/T$249,U$250/U$249,V$250/V$249),V$250/V$249)*W$249</f>
        <v>13.169628606865688</v>
      </c>
      <c r="X250" s="26">
        <f ca="1">IF(X$4=OFFSET(Choices!$B$10,0,$C$1),AVERAGE(U$250/U$249,V$250/V$249,W$250/W$249),W$250/W$249)*X$249</f>
        <v>13.169628606865688</v>
      </c>
      <c r="Y250" s="26">
        <f ca="1">IF(Y$4=OFFSET(Choices!$B$10,0,$C$1),AVERAGE(V$250/V$249,W$250/W$249,X$250/X$249),X$250/X$249)*Y$249</f>
        <v>13.169628606865688</v>
      </c>
      <c r="Z250" s="26">
        <f ca="1">IF(Z$4=OFFSET(Choices!$B$10,0,$C$1),AVERAGE(W$250/W$249,X$250/X$249,Y$250/Y$249),Y$250/Y$249)*Z$249</f>
        <v>13.169628606865688</v>
      </c>
      <c r="AA250" s="26">
        <f ca="1">IF(AA$4=OFFSET(Choices!$B$10,0,$C$1),AVERAGE(X$250/X$249,Y$250/Y$249,Z$250/Z$249),Z$250/Z$249)*AA$249</f>
        <v>13.169628606865688</v>
      </c>
      <c r="AB250" s="26">
        <f ca="1">IF(AB$4=OFFSET(Choices!$B$10,0,$C$1),AVERAGE(Y$250/Y$249,Z$250/Z$249,AA$250/AA$249),AA$250/AA$249)*AB$249</f>
        <v>13.169628606865688</v>
      </c>
      <c r="AC250" s="26">
        <f ca="1">IF(AC$4=OFFSET(Choices!$B$10,0,$C$1),AVERAGE(Z$250/Z$249,AA$250/AA$249,AB$250/AB$249),AB$250/AB$249)*AC$249</f>
        <v>13.169628606865688</v>
      </c>
      <c r="AD250" s="26"/>
      <c r="AE250" s="26"/>
    </row>
    <row r="251" spans="1:31" x14ac:dyDescent="0.2">
      <c r="A251" s="3" t="s">
        <v>415</v>
      </c>
      <c r="B251" s="4" t="str">
        <f>$B$46</f>
        <v>From Fiscal Forecasts</v>
      </c>
      <c r="F251" s="21">
        <f>'Fiscal Forecasts'!F$37-SUM(F$249:F$250)</f>
        <v>-8.6659999999999986</v>
      </c>
      <c r="G251" s="21">
        <f>'Fiscal Forecasts'!G$37-SUM(G$249:G$250)</f>
        <v>-10.279000000000002</v>
      </c>
      <c r="H251" s="21">
        <f>'Fiscal Forecasts'!H$37-SUM(H$249:H$250)</f>
        <v>-11.165000000000001</v>
      </c>
      <c r="I251" s="21">
        <f>'Fiscal Forecasts'!I$37-SUM(I$249:I$250)</f>
        <v>-11.525</v>
      </c>
      <c r="J251" s="21">
        <f>'Fiscal Forecasts'!J$37-SUM(J$249:J$250)</f>
        <v>-12.151999999999999</v>
      </c>
      <c r="K251" s="21">
        <f>'Fiscal Forecasts'!K$37-SUM(K$249:K$250)</f>
        <v>-12.417</v>
      </c>
      <c r="L251" s="21">
        <f>'Fiscal Forecasts'!L$37-SUM(L$249:L$250)</f>
        <v>-12.878000000000002</v>
      </c>
      <c r="M251" s="21">
        <f>'Fiscal Forecasts'!M$37-SUM(M$249:M$250)</f>
        <v>-13.194000000000001</v>
      </c>
      <c r="N251" s="21">
        <f>'Fiscal Forecasts'!N$37-SUM(N$249:N$250)</f>
        <v>-13.284000000000001</v>
      </c>
      <c r="O251" s="24">
        <f>'Fiscal Forecasts'!O$37-SUM(O$249:O$250)</f>
        <v>-13.67</v>
      </c>
      <c r="P251" s="24">
        <f>'Fiscal Forecasts'!P$37-SUM(P$249:P$250)</f>
        <v>-13.754</v>
      </c>
      <c r="Q251" s="24">
        <f>'Fiscal Forecasts'!Q$37-SUM(Q$249:Q$250)</f>
        <v>-13.838999999999999</v>
      </c>
      <c r="R251" s="24">
        <f>'Fiscal Forecasts'!R$37-SUM(R$249:R$250)</f>
        <v>-13.935999999999998</v>
      </c>
      <c r="S251" s="24">
        <f>'Fiscal Forecasts'!S$37-SUM(S$249:S$250)</f>
        <v>-13.933999999999997</v>
      </c>
      <c r="T251" s="26">
        <f ca="1">IF(T$4=OFFSET(Choices!$B$10,0,$C$1),AVERAGE(Q$251/Q$249,R$251/R$249,S$251/S$249),S$251/S$249)*T$249</f>
        <v>-13.921546967909782</v>
      </c>
      <c r="U251" s="26">
        <f ca="1">IF(U$4=OFFSET(Choices!$B$10,0,$C$1),AVERAGE(R$251/R$249,S$251/S$249,T$251/T$249),T$251/T$249)*U$249</f>
        <v>-13.921546967909782</v>
      </c>
      <c r="V251" s="26">
        <f ca="1">IF(V$4=OFFSET(Choices!$B$10,0,$C$1),AVERAGE(S$251/S$249,T$251/T$249,U$251/U$249),U$251/U$249)*V$249</f>
        <v>-13.921546967909782</v>
      </c>
      <c r="W251" s="26">
        <f ca="1">IF(W$4=OFFSET(Choices!$B$10,0,$C$1),AVERAGE(T$251/T$249,U$251/U$249,V$251/V$249),V$251/V$249)*W$249</f>
        <v>-13.921546967909782</v>
      </c>
      <c r="X251" s="26">
        <f ca="1">IF(X$4=OFFSET(Choices!$B$10,0,$C$1),AVERAGE(U$251/U$249,V$251/V$249,W$251/W$249),W$251/W$249)*X$249</f>
        <v>-13.921546967909782</v>
      </c>
      <c r="Y251" s="26">
        <f ca="1">IF(Y$4=OFFSET(Choices!$B$10,0,$C$1),AVERAGE(V$251/V$249,W$251/W$249,X$251/X$249),X$251/X$249)*Y$249</f>
        <v>-13.921546967909782</v>
      </c>
      <c r="Z251" s="26">
        <f ca="1">IF(Z$4=OFFSET(Choices!$B$10,0,$C$1),AVERAGE(W$251/W$249,X$251/X$249,Y$251/Y$249),Y$251/Y$249)*Z$249</f>
        <v>-13.921546967909782</v>
      </c>
      <c r="AA251" s="26">
        <f ca="1">IF(AA$4=OFFSET(Choices!$B$10,0,$C$1),AVERAGE(X$251/X$249,Y$251/Y$249,Z$251/Z$249),Z$251/Z$249)*AA$249</f>
        <v>-13.921546967909782</v>
      </c>
      <c r="AB251" s="26">
        <f ca="1">IF(AB$4=OFFSET(Choices!$B$10,0,$C$1),AVERAGE(Y$251/Y$249,Z$251/Z$249,AA$251/AA$249),AA$251/AA$249)*AB$249</f>
        <v>-13.921546967909782</v>
      </c>
      <c r="AC251" s="26">
        <f ca="1">IF(AC$4=OFFSET(Choices!$B$10,0,$C$1),AVERAGE(Z$251/Z$249,AA$251/AA$249,AB$251/AB$249),AB$251/AB$249)*AC$249</f>
        <v>-13.921546967909782</v>
      </c>
      <c r="AD251" s="26"/>
      <c r="AE251" s="26"/>
    </row>
    <row r="252" spans="1:31" x14ac:dyDescent="0.2">
      <c r="A252" s="31" t="s">
        <v>499</v>
      </c>
      <c r="B252" s="4"/>
      <c r="F252" s="56">
        <f>SUM(F$249:F$251)</f>
        <v>10.661</v>
      </c>
      <c r="G252" s="56">
        <f>SUM(G$249:G$251)</f>
        <v>10.808999999999999</v>
      </c>
      <c r="H252" s="56">
        <f>SUM(H$249:H$251)</f>
        <v>12.042</v>
      </c>
      <c r="I252" s="56">
        <f>SUM(I$249:I$251)</f>
        <v>12.673</v>
      </c>
      <c r="J252" s="56">
        <f t="shared" ref="J252:AC252" si="157">SUM(J$249:J$251)</f>
        <v>13.068</v>
      </c>
      <c r="K252" s="56">
        <f t="shared" si="157"/>
        <v>13.65</v>
      </c>
      <c r="L252" s="56">
        <f t="shared" si="157"/>
        <v>13.856</v>
      </c>
      <c r="M252" s="56">
        <f t="shared" si="157"/>
        <v>14.343999999999999</v>
      </c>
      <c r="N252" s="56">
        <f t="shared" si="157"/>
        <v>14.696</v>
      </c>
      <c r="O252" s="57">
        <f t="shared" si="157"/>
        <v>15.15</v>
      </c>
      <c r="P252" s="57">
        <f t="shared" si="157"/>
        <v>15.028</v>
      </c>
      <c r="Q252" s="57">
        <f t="shared" si="157"/>
        <v>14.98</v>
      </c>
      <c r="R252" s="57">
        <f t="shared" si="157"/>
        <v>14.955</v>
      </c>
      <c r="S252" s="57">
        <f t="shared" si="157"/>
        <v>14.948</v>
      </c>
      <c r="T252" s="58">
        <f t="shared" ca="1" si="157"/>
        <v>14.981081638955908</v>
      </c>
      <c r="U252" s="58">
        <f t="shared" ca="1" si="157"/>
        <v>14.981081638955908</v>
      </c>
      <c r="V252" s="58">
        <f t="shared" ca="1" si="157"/>
        <v>14.981081638955908</v>
      </c>
      <c r="W252" s="58">
        <f t="shared" ca="1" si="157"/>
        <v>14.981081638955908</v>
      </c>
      <c r="X252" s="58">
        <f t="shared" ca="1" si="157"/>
        <v>14.981081638955908</v>
      </c>
      <c r="Y252" s="58">
        <f t="shared" ca="1" si="157"/>
        <v>14.981081638955908</v>
      </c>
      <c r="Z252" s="58">
        <f t="shared" ca="1" si="157"/>
        <v>14.981081638955908</v>
      </c>
      <c r="AA252" s="58">
        <f t="shared" ca="1" si="157"/>
        <v>14.981081638955908</v>
      </c>
      <c r="AB252" s="58">
        <f t="shared" ca="1" si="157"/>
        <v>14.981081638955908</v>
      </c>
      <c r="AC252" s="58">
        <f t="shared" ca="1" si="157"/>
        <v>14.981081638955908</v>
      </c>
      <c r="AD252" s="26"/>
      <c r="AE252" s="26"/>
    </row>
    <row r="253" spans="1:31" x14ac:dyDescent="0.2">
      <c r="A253" s="31"/>
      <c r="B253" s="4"/>
      <c r="AD253" s="26"/>
      <c r="AE253" s="26"/>
    </row>
    <row r="254" spans="1:31" x14ac:dyDescent="0.2">
      <c r="A254" s="31" t="s">
        <v>526</v>
      </c>
      <c r="AD254" s="26"/>
      <c r="AE254" s="26"/>
    </row>
    <row r="255" spans="1:31" x14ac:dyDescent="0.2">
      <c r="A255" s="3" t="s">
        <v>500</v>
      </c>
      <c r="F255" s="21">
        <f>F$182</f>
        <v>0.38200000000000001</v>
      </c>
      <c r="G255" s="21">
        <f t="shared" ref="G255:AC255" si="158">G$182</f>
        <v>0.38600000000000001</v>
      </c>
      <c r="H255" s="21">
        <f t="shared" si="158"/>
        <v>0.44400000000000001</v>
      </c>
      <c r="I255" s="21">
        <f t="shared" si="158"/>
        <v>0.56999999999999995</v>
      </c>
      <c r="J255" s="21">
        <f t="shared" si="158"/>
        <v>0.62</v>
      </c>
      <c r="K255" s="21">
        <f t="shared" si="158"/>
        <v>0.64400000000000002</v>
      </c>
      <c r="L255" s="21">
        <f t="shared" si="158"/>
        <v>0.59599999999999997</v>
      </c>
      <c r="M255" s="21">
        <f t="shared" si="158"/>
        <v>0.53900000000000003</v>
      </c>
      <c r="N255" s="21">
        <f t="shared" si="158"/>
        <v>0.51100000000000001</v>
      </c>
      <c r="O255" s="24">
        <f t="shared" si="158"/>
        <v>0.50900000000000001</v>
      </c>
      <c r="P255" s="24">
        <f t="shared" si="158"/>
        <v>0.54500000000000004</v>
      </c>
      <c r="Q255" s="24">
        <f t="shared" si="158"/>
        <v>0.56100000000000005</v>
      </c>
      <c r="R255" s="24">
        <f t="shared" si="158"/>
        <v>0.56000000000000005</v>
      </c>
      <c r="S255" s="24">
        <f t="shared" si="158"/>
        <v>0.56699999999999995</v>
      </c>
      <c r="T255" s="26">
        <f t="shared" ca="1" si="158"/>
        <v>0.57644494637101884</v>
      </c>
      <c r="U255" s="26">
        <f t="shared" ca="1" si="158"/>
        <v>0.5883856112264948</v>
      </c>
      <c r="V255" s="26">
        <f t="shared" ca="1" si="158"/>
        <v>0.6009522527410287</v>
      </c>
      <c r="W255" s="26">
        <f t="shared" ca="1" si="158"/>
        <v>0.61563262190646872</v>
      </c>
      <c r="X255" s="26">
        <f t="shared" ca="1" si="158"/>
        <v>0.63255621402860607</v>
      </c>
      <c r="Y255" s="26">
        <f t="shared" ca="1" si="158"/>
        <v>0.65223091048484372</v>
      </c>
      <c r="Z255" s="26">
        <f t="shared" ca="1" si="158"/>
        <v>0.67178420967286256</v>
      </c>
      <c r="AA255" s="26">
        <f t="shared" ca="1" si="158"/>
        <v>0.69141093822710864</v>
      </c>
      <c r="AB255" s="26">
        <f t="shared" ca="1" si="158"/>
        <v>0.70906385721328868</v>
      </c>
      <c r="AC255" s="26">
        <f t="shared" ca="1" si="158"/>
        <v>0.72509409583970985</v>
      </c>
      <c r="AD255" s="26"/>
      <c r="AE255" s="26"/>
    </row>
    <row r="256" spans="1:31" x14ac:dyDescent="0.2">
      <c r="A256" s="3" t="s">
        <v>842</v>
      </c>
      <c r="F256" s="21">
        <f>-SUM(F$390,F$393)</f>
        <v>0.63900000000000001</v>
      </c>
      <c r="G256" s="21">
        <f t="shared" ref="G256:AC256" si="159">-SUM(G$390,G$393)</f>
        <v>0.25600000000000001</v>
      </c>
      <c r="H256" s="21">
        <f t="shared" si="159"/>
        <v>1.3109999999999999</v>
      </c>
      <c r="I256" s="21">
        <f t="shared" si="159"/>
        <v>1.008</v>
      </c>
      <c r="J256" s="21">
        <f t="shared" si="159"/>
        <v>0.58799999999999997</v>
      </c>
      <c r="K256" s="21">
        <f t="shared" si="159"/>
        <v>0.41499999999999998</v>
      </c>
      <c r="L256" s="21">
        <f t="shared" si="159"/>
        <v>1.02</v>
      </c>
      <c r="M256" s="21">
        <f t="shared" si="159"/>
        <v>0.64200000000000002</v>
      </c>
      <c r="N256" s="21">
        <f t="shared" si="159"/>
        <v>0.871</v>
      </c>
      <c r="O256" s="24">
        <f t="shared" si="159"/>
        <v>0.77700000000000002</v>
      </c>
      <c r="P256" s="24">
        <f t="shared" si="159"/>
        <v>0.78500000000000003</v>
      </c>
      <c r="Q256" s="24">
        <f t="shared" si="159"/>
        <v>0.78999999999999992</v>
      </c>
      <c r="R256" s="24">
        <f t="shared" si="159"/>
        <v>0.79299999999999993</v>
      </c>
      <c r="S256" s="24">
        <f t="shared" si="159"/>
        <v>0.81099999999999994</v>
      </c>
      <c r="T256" s="26">
        <f t="shared" ca="1" si="159"/>
        <v>0.71599999999999997</v>
      </c>
      <c r="U256" s="26">
        <f t="shared" ca="1" si="159"/>
        <v>0.72799999999999998</v>
      </c>
      <c r="V256" s="26">
        <f t="shared" ca="1" si="159"/>
        <v>0.74299999999999999</v>
      </c>
      <c r="W256" s="26">
        <f t="shared" ca="1" si="159"/>
        <v>0.75800000000000001</v>
      </c>
      <c r="X256" s="26">
        <f t="shared" ca="1" si="159"/>
        <v>0.78300000000000003</v>
      </c>
      <c r="Y256" s="26">
        <f t="shared" ca="1" si="159"/>
        <v>0.80400000000000005</v>
      </c>
      <c r="Z256" s="26">
        <f t="shared" ca="1" si="159"/>
        <v>0.82900000000000007</v>
      </c>
      <c r="AA256" s="26">
        <f t="shared" ca="1" si="159"/>
        <v>0.85400000000000009</v>
      </c>
      <c r="AB256" s="26">
        <f t="shared" ca="1" si="159"/>
        <v>0.87600000000000011</v>
      </c>
      <c r="AC256" s="26">
        <f t="shared" ca="1" si="159"/>
        <v>0.89900000000000013</v>
      </c>
      <c r="AD256" s="26"/>
      <c r="AE256" s="26"/>
    </row>
    <row r="257" spans="1:31" x14ac:dyDescent="0.2">
      <c r="A257" s="3" t="s">
        <v>501</v>
      </c>
      <c r="B257" s="4" t="str">
        <f>$B$46</f>
        <v>From Fiscal Forecasts</v>
      </c>
      <c r="F257" s="21">
        <f>'Fiscal Forecasts'!F$55-SUM(F$255:F$256)</f>
        <v>8.2480000000000011</v>
      </c>
      <c r="G257" s="21">
        <f>'Fiscal Forecasts'!G$55-SUM(G$255:G$256)</f>
        <v>8.9090000000000007</v>
      </c>
      <c r="H257" s="21">
        <f>'Fiscal Forecasts'!H$55-SUM(H$255:H$256)</f>
        <v>9.6999999999999993</v>
      </c>
      <c r="I257" s="21">
        <f>'Fiscal Forecasts'!I$55-SUM(I$255:I$256)</f>
        <v>10.146000000000001</v>
      </c>
      <c r="J257" s="21">
        <f>'Fiscal Forecasts'!J$55-SUM(J$255:J$256)</f>
        <v>10.442</v>
      </c>
      <c r="K257" s="21">
        <f>'Fiscal Forecasts'!K$55-SUM(K$255:K$256)</f>
        <v>10.595000000000001</v>
      </c>
      <c r="L257" s="21">
        <f>'Fiscal Forecasts'!L$55-SUM(L$255:L$256)</f>
        <v>10.888</v>
      </c>
      <c r="M257" s="21">
        <f>'Fiscal Forecasts'!M$55-SUM(M$255:M$256)</f>
        <v>11.119</v>
      </c>
      <c r="N257" s="21">
        <f>'Fiscal Forecasts'!N$55-SUM(N$255:N$256) +IF($D$2="Yes",'Fiscal Forecast Adjuster'!E$26,0)/1000</f>
        <v>11.497</v>
      </c>
      <c r="O257" s="24">
        <f>'Fiscal Forecasts'!O$55-SUM(O$255:O$256) +IF($D$2="Yes",'Fiscal Forecast Adjuster'!F$26,0)/1000</f>
        <v>11.936</v>
      </c>
      <c r="P257" s="24">
        <f>'Fiscal Forecasts'!P$55-SUM(P$255:P$256) +IF($D$2="Yes",'Fiscal Forecast Adjuster'!G$26,0)/1000</f>
        <v>11.986000000000001</v>
      </c>
      <c r="Q257" s="24">
        <f>'Fiscal Forecasts'!Q$55-SUM(Q$255:Q$256) +IF($D$2="Yes",'Fiscal Forecast Adjuster'!H$26,0)/1000</f>
        <v>11.981000000000002</v>
      </c>
      <c r="R257" s="24">
        <f>'Fiscal Forecasts'!R$55-SUM(R$255:R$256) +IF($D$2="Yes",'Fiscal Forecast Adjuster'!I$26,0)/1000</f>
        <v>11.962</v>
      </c>
      <c r="S257" s="24">
        <f>'Fiscal Forecasts'!S$55-SUM(S$255:S$256) +IF($D$2="Yes",'Fiscal Forecast Adjuster'!J$26,0)/1000</f>
        <v>12.052999999999999</v>
      </c>
      <c r="T257" s="26">
        <f t="shared" ref="T257:AC257" si="160">S$257</f>
        <v>12.052999999999999</v>
      </c>
      <c r="U257" s="26">
        <f t="shared" si="160"/>
        <v>12.052999999999999</v>
      </c>
      <c r="V257" s="26">
        <f t="shared" si="160"/>
        <v>12.052999999999999</v>
      </c>
      <c r="W257" s="26">
        <f t="shared" si="160"/>
        <v>12.052999999999999</v>
      </c>
      <c r="X257" s="26">
        <f t="shared" si="160"/>
        <v>12.052999999999999</v>
      </c>
      <c r="Y257" s="26">
        <f t="shared" si="160"/>
        <v>12.052999999999999</v>
      </c>
      <c r="Z257" s="26">
        <f t="shared" si="160"/>
        <v>12.052999999999999</v>
      </c>
      <c r="AA257" s="26">
        <f t="shared" si="160"/>
        <v>12.052999999999999</v>
      </c>
      <c r="AB257" s="26">
        <f t="shared" si="160"/>
        <v>12.052999999999999</v>
      </c>
      <c r="AC257" s="26">
        <f t="shared" si="160"/>
        <v>12.052999999999999</v>
      </c>
      <c r="AD257" s="26"/>
      <c r="AE257" s="26"/>
    </row>
    <row r="258" spans="1:31" x14ac:dyDescent="0.2">
      <c r="A258" s="31" t="s">
        <v>502</v>
      </c>
      <c r="F258" s="56">
        <f>SUM(F$255:F$257)</f>
        <v>9.2690000000000019</v>
      </c>
      <c r="G258" s="56">
        <f t="shared" ref="G258:AC258" si="161">SUM(G$255:G$257)</f>
        <v>9.5510000000000002</v>
      </c>
      <c r="H258" s="56">
        <f t="shared" si="161"/>
        <v>11.454999999999998</v>
      </c>
      <c r="I258" s="56">
        <f t="shared" si="161"/>
        <v>11.724</v>
      </c>
      <c r="J258" s="56">
        <f t="shared" si="161"/>
        <v>11.65</v>
      </c>
      <c r="K258" s="56">
        <f t="shared" si="161"/>
        <v>11.654</v>
      </c>
      <c r="L258" s="56">
        <f t="shared" si="161"/>
        <v>12.504</v>
      </c>
      <c r="M258" s="56">
        <f t="shared" si="161"/>
        <v>12.3</v>
      </c>
      <c r="N258" s="56">
        <f t="shared" si="161"/>
        <v>12.879</v>
      </c>
      <c r="O258" s="57">
        <f t="shared" si="161"/>
        <v>13.222</v>
      </c>
      <c r="P258" s="57">
        <f t="shared" si="161"/>
        <v>13.316000000000001</v>
      </c>
      <c r="Q258" s="57">
        <f t="shared" si="161"/>
        <v>13.332000000000001</v>
      </c>
      <c r="R258" s="57">
        <f t="shared" si="161"/>
        <v>13.315</v>
      </c>
      <c r="S258" s="57">
        <f t="shared" si="161"/>
        <v>13.430999999999999</v>
      </c>
      <c r="T258" s="58">
        <f t="shared" ca="1" si="161"/>
        <v>13.345444946371018</v>
      </c>
      <c r="U258" s="58">
        <f t="shared" ca="1" si="161"/>
        <v>13.369385611226495</v>
      </c>
      <c r="V258" s="58">
        <f t="shared" ca="1" si="161"/>
        <v>13.396952252741027</v>
      </c>
      <c r="W258" s="58">
        <f t="shared" ca="1" si="161"/>
        <v>13.426632621906467</v>
      </c>
      <c r="X258" s="58">
        <f t="shared" ca="1" si="161"/>
        <v>13.468556214028606</v>
      </c>
      <c r="Y258" s="58">
        <f t="shared" ca="1" si="161"/>
        <v>13.509230910484842</v>
      </c>
      <c r="Z258" s="58">
        <f t="shared" ca="1" si="161"/>
        <v>13.553784209672862</v>
      </c>
      <c r="AA258" s="58">
        <f t="shared" ca="1" si="161"/>
        <v>13.598410938227108</v>
      </c>
      <c r="AB258" s="58">
        <f t="shared" ca="1" si="161"/>
        <v>13.638063857213288</v>
      </c>
      <c r="AC258" s="58">
        <f t="shared" ca="1" si="161"/>
        <v>13.67709409583971</v>
      </c>
      <c r="AD258" s="26"/>
      <c r="AE258" s="26"/>
    </row>
    <row r="259" spans="1:31" x14ac:dyDescent="0.2">
      <c r="A259" s="3" t="s">
        <v>413</v>
      </c>
      <c r="B259" s="4" t="str">
        <f>$B$46</f>
        <v>From Fiscal Forecasts</v>
      </c>
      <c r="F259" s="21">
        <f>'Fiscal Forecasts'!F$173</f>
        <v>6.9</v>
      </c>
      <c r="G259" s="21">
        <f>'Fiscal Forecasts'!G$173</f>
        <v>8.0690000000000008</v>
      </c>
      <c r="H259" s="21">
        <f>'Fiscal Forecasts'!H$173</f>
        <v>8.7569999999999997</v>
      </c>
      <c r="I259" s="21">
        <f>'Fiscal Forecasts'!I$173</f>
        <v>9.01</v>
      </c>
      <c r="J259" s="21">
        <f>'Fiscal Forecasts'!J$173</f>
        <v>9.1760000000000002</v>
      </c>
      <c r="K259" s="21">
        <f>'Fiscal Forecasts'!K$173</f>
        <v>9.3650000000000002</v>
      </c>
      <c r="L259" s="21">
        <f>'Fiscal Forecasts'!L$173</f>
        <v>9.5939999999999994</v>
      </c>
      <c r="M259" s="21">
        <f>'Fiscal Forecasts'!M$173</f>
        <v>9.6219999999999999</v>
      </c>
      <c r="N259" s="21">
        <f>'Fiscal Forecasts'!N$173</f>
        <v>9.8529999999999998</v>
      </c>
      <c r="O259" s="24">
        <f>'Fiscal Forecasts'!O$173</f>
        <v>10.185</v>
      </c>
      <c r="P259" s="24">
        <f>'Fiscal Forecasts'!P$173</f>
        <v>10.206</v>
      </c>
      <c r="Q259" s="24">
        <f>'Fiscal Forecasts'!Q$173</f>
        <v>10.161</v>
      </c>
      <c r="R259" s="24">
        <f>'Fiscal Forecasts'!R$173</f>
        <v>10.099</v>
      </c>
      <c r="S259" s="24">
        <f>'Fiscal Forecasts'!S$173</f>
        <v>10.134</v>
      </c>
      <c r="T259" s="26">
        <f ca="1">IF(T$4=OFFSET(Choices!$B$10,0,$C$1),AVERAGE(Q$259/Q$258,R$259/R$258,S$259/S$258),S$259/S$258)*T$258</f>
        <v>10.12092844357092</v>
      </c>
      <c r="U259" s="26">
        <f ca="1">IF(U$4=OFFSET(Choices!$B$10,0,$C$1),AVERAGE(R$259/R$258,S$259/S$258,T$259/T$258),T$259/T$258)*U$258</f>
        <v>10.139084582753052</v>
      </c>
      <c r="V259" s="26">
        <f ca="1">IF(V$4=OFFSET(Choices!$B$10,0,$C$1),AVERAGE(S$259/S$258,T$259/T$258,U$259/U$258),U$259/U$258)*V$258</f>
        <v>10.159990592805119</v>
      </c>
      <c r="W259" s="26">
        <f ca="1">IF(W$4=OFFSET(Choices!$B$10,0,$C$1),AVERAGE(T$259/T$258,U$259/U$258,V$259/V$258),V$259/V$258)*W$258</f>
        <v>10.182499613201916</v>
      </c>
      <c r="X259" s="26">
        <f ca="1">IF(X$4=OFFSET(Choices!$B$10,0,$C$1),AVERAGE(U$259/U$258,V$259/V$258,W$259/W$258),W$259/W$258)*X$258</f>
        <v>10.214293658111673</v>
      </c>
      <c r="Y259" s="26">
        <f ca="1">IF(Y$4=OFFSET(Choices!$B$10,0,$C$1),AVERAGE(V$259/V$258,W$259/W$258,X$259/X$258),X$259/X$258)*Y$258</f>
        <v>10.24514056459938</v>
      </c>
      <c r="Z259" s="26">
        <f ca="1">IF(Z$4=OFFSET(Choices!$B$10,0,$C$1),AVERAGE(W$259/W$258,X$259/X$258,Y$259/Y$258),Y$259/Y$258)*Z$258</f>
        <v>10.278928928705559</v>
      </c>
      <c r="AA259" s="26">
        <f ca="1">IF(AA$4=OFFSET(Choices!$B$10,0,$C$1),AVERAGE(X$259/X$258,Y$259/Y$258,Z$259/Z$258),Z$259/Z$258)*AA$258</f>
        <v>10.312772980228997</v>
      </c>
      <c r="AB259" s="26">
        <f ca="1">IF(AB$4=OFFSET(Choices!$B$10,0,$C$1),AVERAGE(Y$259/Y$258,Z$259/Z$258,AA$259/AA$258),AA$259/AA$258)*AB$258</f>
        <v>10.342844990360588</v>
      </c>
      <c r="AC259" s="26">
        <f ca="1">IF(AC$4=OFFSET(Choices!$B$10,0,$C$1),AVERAGE(Z$259/Z$258,AA$259/AA$258,AB$259/AB$258),AB$259/AB$258)*AC$258</f>
        <v>10.372444771698785</v>
      </c>
      <c r="AD259" s="26"/>
      <c r="AE259" s="26"/>
    </row>
    <row r="260" spans="1:31" x14ac:dyDescent="0.2">
      <c r="A260" s="3" t="s">
        <v>414</v>
      </c>
      <c r="B260" s="4" t="str">
        <f>$B$46</f>
        <v>From Fiscal Forecasts</v>
      </c>
      <c r="F260" s="21">
        <f>'Fiscal Forecasts'!F$174</f>
        <v>2.4E-2</v>
      </c>
      <c r="G260" s="21">
        <f>'Fiscal Forecasts'!G$174</f>
        <v>2.5000000000000001E-2</v>
      </c>
      <c r="H260" s="21">
        <f>'Fiscal Forecasts'!H$174</f>
        <v>2.1999999999999999E-2</v>
      </c>
      <c r="I260" s="21">
        <f>'Fiscal Forecasts'!I$174</f>
        <v>2.3E-2</v>
      </c>
      <c r="J260" s="21">
        <f>'Fiscal Forecasts'!J$174</f>
        <v>2.3E-2</v>
      </c>
      <c r="K260" s="21">
        <f>'Fiscal Forecasts'!K$174</f>
        <v>2.8000000000000001E-2</v>
      </c>
      <c r="L260" s="21">
        <f>'Fiscal Forecasts'!L$174</f>
        <v>1.9E-2</v>
      </c>
      <c r="M260" s="21">
        <f>'Fiscal Forecasts'!M$174</f>
        <v>4.0000000000000001E-3</v>
      </c>
      <c r="N260" s="21">
        <f>'Fiscal Forecasts'!N$174</f>
        <v>0</v>
      </c>
      <c r="O260" s="24">
        <f>'Fiscal Forecasts'!O$174</f>
        <v>0</v>
      </c>
      <c r="P260" s="24">
        <f>'Fiscal Forecasts'!P$174</f>
        <v>0</v>
      </c>
      <c r="Q260" s="24">
        <f>'Fiscal Forecasts'!Q$174</f>
        <v>0</v>
      </c>
      <c r="R260" s="24">
        <f>'Fiscal Forecasts'!R$174</f>
        <v>0</v>
      </c>
      <c r="S260" s="24">
        <f>'Fiscal Forecasts'!S$174</f>
        <v>0</v>
      </c>
      <c r="T260" s="26">
        <f ca="1">IF(T$4=OFFSET(Choices!$B$10,0,$C$1),AVERAGE(Q$260/Q$258,R$260/R$258,S$260/S$258),S$260/S$258)*T$258</f>
        <v>0</v>
      </c>
      <c r="U260" s="26">
        <f ca="1">IF(U$4=OFFSET(Choices!$B$10,0,$C$1),AVERAGE(R$260/R$258,S$260/S$258,T$260/T$258),T$260/T$258)*U$258</f>
        <v>0</v>
      </c>
      <c r="V260" s="26">
        <f ca="1">IF(V$4=OFFSET(Choices!$B$10,0,$C$1),AVERAGE(S$260/S$258,T$260/T$258,U$260/U$258),U$260/U$258)*V$258</f>
        <v>0</v>
      </c>
      <c r="W260" s="26">
        <f ca="1">IF(W$4=OFFSET(Choices!$B$10,0,$C$1),AVERAGE(T$260/T$258,U$260/U$258,V$260/V$258),V$260/V$258)*W$258</f>
        <v>0</v>
      </c>
      <c r="X260" s="26">
        <f ca="1">IF(X$4=OFFSET(Choices!$B$10,0,$C$1),AVERAGE(U$260/U$258,V$260/V$258,W$260/W$258),W$260/W$258)*X$258</f>
        <v>0</v>
      </c>
      <c r="Y260" s="26">
        <f ca="1">IF(Y$4=OFFSET(Choices!$B$10,0,$C$1),AVERAGE(V$260/V$258,W$260/W$258,X$260/X$258),X$260/X$258)*Y$258</f>
        <v>0</v>
      </c>
      <c r="Z260" s="26">
        <f ca="1">IF(Z$4=OFFSET(Choices!$B$10,0,$C$1),AVERAGE(W$260/W$258,X$260/X$258,Y$260/Y$258),Y$260/Y$258)*Z$258</f>
        <v>0</v>
      </c>
      <c r="AA260" s="26">
        <f ca="1">IF(AA$4=OFFSET(Choices!$B$10,0,$C$1),AVERAGE(X$260/X$258,Y$260/Y$258,Z$260/Z$258),Z$260/Z$258)*AA$258</f>
        <v>0</v>
      </c>
      <c r="AB260" s="26">
        <f ca="1">IF(AB$4=OFFSET(Choices!$B$10,0,$C$1),AVERAGE(Y$260/Y$258,Z$260/Z$258,AA$260/AA$258),AA$260/AA$258)*AB$258</f>
        <v>0</v>
      </c>
      <c r="AC260" s="26">
        <f ca="1">IF(AC$4=OFFSET(Choices!$B$10,0,$C$1),AVERAGE(Z$260/Z$258,AA$260/AA$258,AB$260/AB$258),AB$260/AB$258)*AC$258</f>
        <v>0</v>
      </c>
      <c r="AD260" s="26"/>
      <c r="AE260" s="26"/>
    </row>
    <row r="261" spans="1:31" x14ac:dyDescent="0.2">
      <c r="A261" s="3" t="s">
        <v>415</v>
      </c>
      <c r="B261" s="4" t="str">
        <f>$B$46</f>
        <v>From Fiscal Forecasts</v>
      </c>
      <c r="F261" s="21">
        <f>'Fiscal Forecasts'!F$38-SUM(F$258:F$260)</f>
        <v>-6.3400000000000052</v>
      </c>
      <c r="G261" s="21">
        <f>'Fiscal Forecasts'!G$38-SUM(G$258:G$260)</f>
        <v>-7.2479999999999993</v>
      </c>
      <c r="H261" s="21">
        <f>'Fiscal Forecasts'!H$38-SUM(H$258:H$260)</f>
        <v>-7.7689999999999948</v>
      </c>
      <c r="I261" s="21">
        <f>'Fiscal Forecasts'!I$38-SUM(I$258:I$260)</f>
        <v>-8.3170000000000019</v>
      </c>
      <c r="J261" s="21">
        <f>'Fiscal Forecasts'!J$38-SUM(J$258:J$260)</f>
        <v>-8.4429999999999996</v>
      </c>
      <c r="K261" s="21">
        <f>'Fiscal Forecasts'!K$38-SUM(K$258:K$260)</f>
        <v>-8.639999999999997</v>
      </c>
      <c r="L261" s="21">
        <f>'Fiscal Forecasts'!L$38-SUM(L$258:L$260)</f>
        <v>-8.7509999999999977</v>
      </c>
      <c r="M261" s="21">
        <f>'Fiscal Forecasts'!M$38-SUM(M$258:M$260)</f>
        <v>-8.8620000000000019</v>
      </c>
      <c r="N261" s="21">
        <f>'Fiscal Forecasts'!N$38-SUM(N$258:N$260) +IF($D$2="Yes",'Fiscal Forecast Adjuster'!E$26,0)/1000</f>
        <v>-9.1949999999999985</v>
      </c>
      <c r="O261" s="24">
        <f>'Fiscal Forecasts'!O$38-SUM(O$258:O$260) +IF($D$2="Yes",'Fiscal Forecast Adjuster'!F$26,0)/1000</f>
        <v>-9.4139999999999997</v>
      </c>
      <c r="P261" s="24">
        <f>'Fiscal Forecasts'!P$38-SUM(P$258:P$260) +IF($D$2="Yes",'Fiscal Forecast Adjuster'!G$26,0)/1000</f>
        <v>-9.4189999999999987</v>
      </c>
      <c r="Q261" s="24">
        <f>'Fiscal Forecasts'!Q$38-SUM(Q$258:Q$260) +IF($D$2="Yes",'Fiscal Forecast Adjuster'!H$26,0)/1000</f>
        <v>-9.3710000000000022</v>
      </c>
      <c r="R261" s="24">
        <f>'Fiscal Forecasts'!R$38-SUM(R$258:R$260) +IF($D$2="Yes",'Fiscal Forecast Adjuster'!I$26,0)/1000</f>
        <v>-9.3050000000000015</v>
      </c>
      <c r="S261" s="24">
        <f>'Fiscal Forecasts'!S$38-SUM(S$258:S$260) +IF($D$2="Yes",'Fiscal Forecast Adjuster'!J$26,0)/1000</f>
        <v>-9.3389999999999969</v>
      </c>
      <c r="T261" s="26">
        <f ca="1">IF(T$4=OFFSET(Choices!$B$10,0,$C$1),AVERAGE(Q$261/Q$258,R$261/R$258,S$261/S$258),S$261/S$258)*T$258</f>
        <v>-9.3287457568221104</v>
      </c>
      <c r="U261" s="26">
        <f ca="1">IF(U$4=OFFSET(Choices!$B$10,0,$C$1),AVERAGE(R$261/R$258,S$261/S$258,T$261/T$258),T$261/T$258)*U$258</f>
        <v>-9.3454807833861189</v>
      </c>
      <c r="V261" s="26">
        <f ca="1">IF(V$4=OFFSET(Choices!$B$10,0,$C$1),AVERAGE(S$261/S$258,T$261/T$258,U$261/U$258),U$261/U$258)*V$258</f>
        <v>-9.3647504436403803</v>
      </c>
      <c r="W261" s="26">
        <f ca="1">IF(W$4=OFFSET(Choices!$B$10,0,$C$1),AVERAGE(T$261/T$258,U$261/U$258,V$261/V$258),V$261/V$258)*W$258</f>
        <v>-9.3854976438293338</v>
      </c>
      <c r="X261" s="26">
        <f ca="1">IF(X$4=OFFSET(Choices!$B$10,0,$C$1),AVERAGE(U$261/U$258,V$261/V$258,W$261/W$258),W$261/W$258)*X$258</f>
        <v>-9.4148031135002039</v>
      </c>
      <c r="Y261" s="26">
        <f ca="1">IF(Y$4=OFFSET(Choices!$B$10,0,$C$1),AVERAGE(V$261/V$258,W$261/W$258,X$261/X$258),X$261/X$258)*Y$258</f>
        <v>-9.4432355789219979</v>
      </c>
      <c r="Z261" s="26">
        <f ca="1">IF(Z$4=OFFSET(Choices!$B$10,0,$C$1),AVERAGE(W$261/W$258,X$261/X$258,Y$261/Y$258),Y$261/Y$258)*Z$258</f>
        <v>-9.4743792689542801</v>
      </c>
      <c r="AA261" s="26">
        <f ca="1">IF(AA$4=OFFSET(Choices!$B$10,0,$C$1),AVERAGE(X$261/X$258,Y$261/Y$258,Z$261/Z$258),Z$261/Z$258)*AA$258</f>
        <v>-9.5055742876527365</v>
      </c>
      <c r="AB261" s="26">
        <f ca="1">IF(AB$4=OFFSET(Choices!$B$10,0,$C$1),AVERAGE(Y$261/Y$258,Z$261/Z$258,AA$261/AA$258),AA$261/AA$258)*AB$258</f>
        <v>-9.5332925092050651</v>
      </c>
      <c r="AC261" s="26">
        <f ca="1">IF(AC$4=OFFSET(Choices!$B$10,0,$C$1),AVERAGE(Z$261/Z$258,AA$261/AA$258,AB$261/AB$258),AB$261/AB$258)*AC$258</f>
        <v>-9.5605754641336684</v>
      </c>
      <c r="AD261" s="26"/>
      <c r="AE261" s="26"/>
    </row>
    <row r="262" spans="1:31" x14ac:dyDescent="0.2">
      <c r="A262" s="31" t="s">
        <v>521</v>
      </c>
      <c r="F262" s="56">
        <f>SUM(F$258:F$261)</f>
        <v>9.8529999999999998</v>
      </c>
      <c r="G262" s="56">
        <f t="shared" ref="G262:AC262" si="162">SUM(G$258:G$261)</f>
        <v>10.397</v>
      </c>
      <c r="H262" s="56">
        <f t="shared" si="162"/>
        <v>12.465</v>
      </c>
      <c r="I262" s="56">
        <f t="shared" si="162"/>
        <v>12.44</v>
      </c>
      <c r="J262" s="56">
        <f t="shared" si="162"/>
        <v>12.406000000000001</v>
      </c>
      <c r="K262" s="56">
        <f t="shared" si="162"/>
        <v>12.407</v>
      </c>
      <c r="L262" s="56">
        <f t="shared" si="162"/>
        <v>13.366</v>
      </c>
      <c r="M262" s="56">
        <f t="shared" si="162"/>
        <v>13.064</v>
      </c>
      <c r="N262" s="56">
        <f t="shared" si="162"/>
        <v>13.537000000000001</v>
      </c>
      <c r="O262" s="57">
        <f t="shared" si="162"/>
        <v>13.993</v>
      </c>
      <c r="P262" s="57">
        <f t="shared" si="162"/>
        <v>14.103</v>
      </c>
      <c r="Q262" s="57">
        <f t="shared" si="162"/>
        <v>14.122</v>
      </c>
      <c r="R262" s="57">
        <f t="shared" si="162"/>
        <v>14.109</v>
      </c>
      <c r="S262" s="57">
        <f t="shared" si="162"/>
        <v>14.226000000000001</v>
      </c>
      <c r="T262" s="58">
        <f t="shared" ca="1" si="162"/>
        <v>14.137627633119825</v>
      </c>
      <c r="U262" s="58">
        <f t="shared" ca="1" si="162"/>
        <v>14.162989410593429</v>
      </c>
      <c r="V262" s="58">
        <f t="shared" ca="1" si="162"/>
        <v>14.192192401905766</v>
      </c>
      <c r="W262" s="58">
        <f t="shared" ca="1" si="162"/>
        <v>14.223634591279049</v>
      </c>
      <c r="X262" s="58">
        <f t="shared" ca="1" si="162"/>
        <v>14.268046758640077</v>
      </c>
      <c r="Y262" s="58">
        <f t="shared" ca="1" si="162"/>
        <v>14.311135896162222</v>
      </c>
      <c r="Z262" s="58">
        <f t="shared" ca="1" si="162"/>
        <v>14.358333869424143</v>
      </c>
      <c r="AA262" s="58">
        <f t="shared" ca="1" si="162"/>
        <v>14.405609630803367</v>
      </c>
      <c r="AB262" s="58">
        <f t="shared" ca="1" si="162"/>
        <v>14.44761633836881</v>
      </c>
      <c r="AC262" s="58">
        <f t="shared" ca="1" si="162"/>
        <v>14.488963403404826</v>
      </c>
      <c r="AD262" s="26"/>
      <c r="AE262" s="26"/>
    </row>
    <row r="263" spans="1:31" x14ac:dyDescent="0.2">
      <c r="A263" s="31"/>
      <c r="B263" s="4"/>
      <c r="AD263" s="26"/>
      <c r="AE263" s="26"/>
    </row>
    <row r="264" spans="1:31" x14ac:dyDescent="0.2">
      <c r="A264" s="31" t="s">
        <v>534</v>
      </c>
      <c r="B264" s="4"/>
      <c r="AD264" s="26"/>
      <c r="AE264" s="26"/>
    </row>
    <row r="265" spans="1:31" x14ac:dyDescent="0.2">
      <c r="A265" s="3" t="s">
        <v>435</v>
      </c>
      <c r="B265" s="4"/>
      <c r="F265" s="21">
        <f>F$186</f>
        <v>0.33</v>
      </c>
      <c r="G265" s="21">
        <f t="shared" ref="G265:AC265" si="163">G$186</f>
        <v>0.36199999999999999</v>
      </c>
      <c r="H265" s="21">
        <f t="shared" si="163"/>
        <v>0.45800000000000002</v>
      </c>
      <c r="I265" s="21">
        <f t="shared" si="163"/>
        <v>0.435</v>
      </c>
      <c r="J265" s="21">
        <f t="shared" si="163"/>
        <v>0.495</v>
      </c>
      <c r="K265" s="21">
        <f t="shared" si="163"/>
        <v>0.51</v>
      </c>
      <c r="L265" s="21">
        <f t="shared" si="163"/>
        <v>0.437</v>
      </c>
      <c r="M265" s="21">
        <f t="shared" si="163"/>
        <v>0.53300000000000003</v>
      </c>
      <c r="N265" s="21">
        <f t="shared" si="163"/>
        <v>0.51300000000000001</v>
      </c>
      <c r="O265" s="24">
        <f t="shared" si="163"/>
        <v>0.55900000000000005</v>
      </c>
      <c r="P265" s="24">
        <f t="shared" si="163"/>
        <v>0.57199999999999995</v>
      </c>
      <c r="Q265" s="24">
        <f t="shared" si="163"/>
        <v>0.58599999999999997</v>
      </c>
      <c r="R265" s="24">
        <f t="shared" si="163"/>
        <v>0.58599999999999997</v>
      </c>
      <c r="S265" s="24">
        <f t="shared" si="163"/>
        <v>0.58599999999999997</v>
      </c>
      <c r="T265" s="26">
        <f t="shared" ca="1" si="163"/>
        <v>0.61202581429728042</v>
      </c>
      <c r="U265" s="26">
        <f t="shared" ca="1" si="163"/>
        <v>0.63915728044855957</v>
      </c>
      <c r="V265" s="26">
        <f t="shared" ca="1" si="163"/>
        <v>0.66784931797353064</v>
      </c>
      <c r="W265" s="26">
        <f t="shared" ca="1" si="163"/>
        <v>0.69760790778749338</v>
      </c>
      <c r="X265" s="26">
        <f t="shared" ca="1" si="163"/>
        <v>0.72859380140399943</v>
      </c>
      <c r="Y265" s="26">
        <f t="shared" ca="1" si="163"/>
        <v>0.76058151471117796</v>
      </c>
      <c r="Z265" s="26">
        <f t="shared" ca="1" si="163"/>
        <v>0.79350590841276492</v>
      </c>
      <c r="AA265" s="26">
        <f t="shared" ca="1" si="163"/>
        <v>0.82739014660766308</v>
      </c>
      <c r="AB265" s="26">
        <f t="shared" ca="1" si="163"/>
        <v>0.86210338437212941</v>
      </c>
      <c r="AC265" s="26">
        <f t="shared" ca="1" si="163"/>
        <v>0.89782653713002381</v>
      </c>
      <c r="AD265" s="26"/>
      <c r="AE265" s="26"/>
    </row>
    <row r="266" spans="1:31" x14ac:dyDescent="0.2">
      <c r="A266" s="3" t="s">
        <v>788</v>
      </c>
      <c r="B266" s="4"/>
      <c r="F266" s="21">
        <f>F$364</f>
        <v>-5.1999999999999998E-2</v>
      </c>
      <c r="G266" s="21">
        <f t="shared" ref="G266:AC266" si="164">G$364</f>
        <v>3.4000000000000002E-2</v>
      </c>
      <c r="H266" s="21">
        <f t="shared" si="164"/>
        <v>-0.32300000000000001</v>
      </c>
      <c r="I266" s="21">
        <f t="shared" si="164"/>
        <v>0.502</v>
      </c>
      <c r="J266" s="21">
        <f t="shared" si="164"/>
        <v>0.16900000000000001</v>
      </c>
      <c r="K266" s="21">
        <f t="shared" si="164"/>
        <v>0.13200000000000001</v>
      </c>
      <c r="L266" s="21">
        <f t="shared" si="164"/>
        <v>0.16500000000000001</v>
      </c>
      <c r="M266" s="21">
        <f t="shared" si="164"/>
        <v>0.16400000000000001</v>
      </c>
      <c r="N266" s="21">
        <f t="shared" si="164"/>
        <v>0.19800000000000001</v>
      </c>
      <c r="O266" s="24">
        <f t="shared" si="164"/>
        <v>0.153</v>
      </c>
      <c r="P266" s="24">
        <f t="shared" si="164"/>
        <v>0.17100000000000001</v>
      </c>
      <c r="Q266" s="24">
        <f t="shared" si="164"/>
        <v>0.20200000000000001</v>
      </c>
      <c r="R266" s="24">
        <f t="shared" si="164"/>
        <v>0.22700000000000001</v>
      </c>
      <c r="S266" s="24">
        <f t="shared" si="164"/>
        <v>0.253</v>
      </c>
      <c r="T266" s="26">
        <f t="shared" ca="1" si="164"/>
        <v>0.21935389637232919</v>
      </c>
      <c r="U266" s="26">
        <f t="shared" ca="1" si="164"/>
        <v>0.23813893409703013</v>
      </c>
      <c r="V266" s="26">
        <f t="shared" ca="1" si="164"/>
        <v>0.26402693669887606</v>
      </c>
      <c r="W266" s="26">
        <f t="shared" ca="1" si="164"/>
        <v>0.29526197158256434</v>
      </c>
      <c r="X266" s="26">
        <f t="shared" ca="1" si="164"/>
        <v>0.32725612363386192</v>
      </c>
      <c r="Y266" s="26">
        <f t="shared" ca="1" si="164"/>
        <v>0.35985523039769385</v>
      </c>
      <c r="Z266" s="26">
        <f t="shared" ca="1" si="164"/>
        <v>0.39281150859990432</v>
      </c>
      <c r="AA266" s="26">
        <f t="shared" ca="1" si="164"/>
        <v>0.42598096906247979</v>
      </c>
      <c r="AB266" s="26">
        <f t="shared" ca="1" si="164"/>
        <v>0.45933741775547865</v>
      </c>
      <c r="AC266" s="26">
        <f t="shared" ca="1" si="164"/>
        <v>0.49298551941390933</v>
      </c>
      <c r="AD266" s="26"/>
      <c r="AE266" s="26"/>
    </row>
    <row r="267" spans="1:31" x14ac:dyDescent="0.2">
      <c r="A267" s="3" t="s">
        <v>854</v>
      </c>
      <c r="B267" s="4" t="s">
        <v>855</v>
      </c>
      <c r="F267" s="21">
        <f>Tracks!F$46</f>
        <v>2.4790000000000001</v>
      </c>
      <c r="G267" s="21">
        <f>Tracks!G$46</f>
        <v>0.70099999999999996</v>
      </c>
      <c r="H267" s="21">
        <f>Tracks!H$46</f>
        <v>1.6539999999999999</v>
      </c>
      <c r="I267" s="21">
        <f>Tracks!I$46</f>
        <v>0.59</v>
      </c>
      <c r="J267" s="21">
        <f>Tracks!J$46</f>
        <v>1.01</v>
      </c>
      <c r="K267" s="21">
        <f>Tracks!K$46</f>
        <v>1.0029999999999999</v>
      </c>
      <c r="L267" s="21">
        <f>Tracks!L$46</f>
        <v>0.92500000000000004</v>
      </c>
      <c r="M267" s="21">
        <f>Tracks!M$46</f>
        <v>1.069</v>
      </c>
      <c r="N267" s="21">
        <f>Tracks!N$46</f>
        <v>0.873</v>
      </c>
      <c r="O267" s="24">
        <f>Tracks!O$46</f>
        <v>1.179</v>
      </c>
      <c r="P267" s="24">
        <f>Tracks!P$46</f>
        <v>1.232</v>
      </c>
      <c r="Q267" s="24">
        <f>Tracks!Q$46</f>
        <v>1.2749999999999999</v>
      </c>
      <c r="R267" s="24">
        <f>Tracks!R$46</f>
        <v>1.3260000000000001</v>
      </c>
      <c r="S267" s="24">
        <f>Tracks!S$46</f>
        <v>1.323</v>
      </c>
      <c r="T267" s="26">
        <f ca="1">IF(T$4=OFFSET(Choices!$B$10,0,$C$1),AVERAGE(Q$267/Q$142,R$267/R$142,S$267/S$142),S$267/S$142)*T$142</f>
        <v>1.448202990990185</v>
      </c>
      <c r="U267" s="26">
        <f ca="1">IF(U$4=OFFSET(Choices!$B$10,0,$C$1),AVERAGE(R$267/R$142,S$267/S$142,T$267/T$142),T$267/T$142)*U$142</f>
        <v>1.5150584878408264</v>
      </c>
      <c r="V267" s="26">
        <f ca="1">IF(V$4=OFFSET(Choices!$B$10,0,$C$1),AVERAGE(S$267/S$142,T$267/T$142,U$267/U$142),U$267/U$142)*V$142</f>
        <v>1.5858451189572011</v>
      </c>
      <c r="W267" s="26">
        <f ca="1">IF(W$4=OFFSET(Choices!$B$10,0,$C$1),AVERAGE(T$267/T$142,U$267/U$142,V$267/V$142),V$267/V$142)*W$142</f>
        <v>1.6587928429988512</v>
      </c>
      <c r="X267" s="26">
        <f ca="1">IF(X$4=OFFSET(Choices!$B$10,0,$C$1),AVERAGE(U$267/U$142,V$267/V$142,W$267/W$142),W$267/W$142)*X$142</f>
        <v>1.7316873240853876</v>
      </c>
      <c r="Y267" s="26">
        <f ca="1">IF(Y$4=OFFSET(Choices!$B$10,0,$C$1),AVERAGE(V$267/V$142,W$267/W$142,X$267/X$142),X$267/X$142)*Y$142</f>
        <v>1.8077142097846295</v>
      </c>
      <c r="Z267" s="26">
        <f ca="1">IF(Z$4=OFFSET(Choices!$B$10,0,$C$1),AVERAGE(W$267/W$142,X$267/X$142,Y$267/Y$142),Y$267/Y$142)*Z$142</f>
        <v>1.8859673531909658</v>
      </c>
      <c r="AA267" s="26">
        <f ca="1">IF(AA$4=OFFSET(Choices!$B$10,0,$C$1),AVERAGE(X$267/X$142,Y$267/Y$142,Z$267/Z$142),Z$267/Z$142)*AA$142</f>
        <v>1.9665018096402584</v>
      </c>
      <c r="AB267" s="26">
        <f ca="1">IF(AB$4=OFFSET(Choices!$B$10,0,$C$1),AVERAGE(Y$267/Y$142,Z$267/Z$142,AA$267/AA$142),AA$267/AA$142)*AB$142</f>
        <v>2.0490065930996457</v>
      </c>
      <c r="AC267" s="26">
        <f ca="1">IF(AC$4=OFFSET(Choices!$B$10,0,$C$1),AVERAGE(Z$267/Z$142,AA$267/AA$142,AB$267/AB$142),AB$267/AB$142)*AC$142</f>
        <v>2.1339116948010393</v>
      </c>
      <c r="AD267" s="26"/>
      <c r="AE267" s="26"/>
    </row>
    <row r="268" spans="1:31" x14ac:dyDescent="0.2">
      <c r="A268" s="3" t="s">
        <v>537</v>
      </c>
      <c r="B268" s="4" t="str">
        <f>$B$46</f>
        <v>From Fiscal Forecasts</v>
      </c>
      <c r="F268" s="21">
        <f>'Fiscal Forecasts'!F$56-SUM(F$265:F$267)</f>
        <v>2.0589999999999997</v>
      </c>
      <c r="G268" s="21">
        <f>'Fiscal Forecasts'!G$56-SUM(G$265:G$267)</f>
        <v>2.274</v>
      </c>
      <c r="H268" s="21">
        <f>'Fiscal Forecasts'!H$56-SUM(H$265:H$267)</f>
        <v>3.5040000000000004</v>
      </c>
      <c r="I268" s="21">
        <f>'Fiscal Forecasts'!I$56-SUM(I$265:I$267)</f>
        <v>1.4470000000000001</v>
      </c>
      <c r="J268" s="21">
        <f>'Fiscal Forecasts'!J$56-SUM(J$265:J$267)</f>
        <v>3.8889999999999998</v>
      </c>
      <c r="K268" s="21">
        <f>'Fiscal Forecasts'!K$56-SUM(K$265:K$267)</f>
        <v>3.7829999999999999</v>
      </c>
      <c r="L268" s="21">
        <f>'Fiscal Forecasts'!L$56-SUM(L$265:L$267)</f>
        <v>2.742</v>
      </c>
      <c r="M268" s="21">
        <f>'Fiscal Forecasts'!M$56-SUM(M$265:M$267)</f>
        <v>2.7359999999999998</v>
      </c>
      <c r="N268" s="21">
        <f>'Fiscal Forecasts'!N$56-SUM(N$265:N$267)</f>
        <v>2.5500000000000003</v>
      </c>
      <c r="O268" s="24">
        <f>'Fiscal Forecasts'!O$56-SUM(O$265:O$267)</f>
        <v>3.085</v>
      </c>
      <c r="P268" s="24">
        <f>'Fiscal Forecasts'!P$56-SUM(P$265:P$267)</f>
        <v>2.8069999999999999</v>
      </c>
      <c r="Q268" s="24">
        <f>'Fiscal Forecasts'!Q$56-SUM(Q$265:Q$267)</f>
        <v>2.8010000000000002</v>
      </c>
      <c r="R268" s="24">
        <f>'Fiscal Forecasts'!R$56-SUM(R$265:R$267)</f>
        <v>2.7109999999999994</v>
      </c>
      <c r="S268" s="24">
        <f>'Fiscal Forecasts'!S$56-SUM(S$265:S$267)</f>
        <v>2.6520000000000001</v>
      </c>
      <c r="T268" s="26">
        <f t="shared" ref="T268:AC268" si="165">S$268</f>
        <v>2.6520000000000001</v>
      </c>
      <c r="U268" s="26">
        <f t="shared" si="165"/>
        <v>2.6520000000000001</v>
      </c>
      <c r="V268" s="26">
        <f t="shared" si="165"/>
        <v>2.6520000000000001</v>
      </c>
      <c r="W268" s="26">
        <f t="shared" si="165"/>
        <v>2.6520000000000001</v>
      </c>
      <c r="X268" s="26">
        <f t="shared" si="165"/>
        <v>2.6520000000000001</v>
      </c>
      <c r="Y268" s="26">
        <f t="shared" si="165"/>
        <v>2.6520000000000001</v>
      </c>
      <c r="Z268" s="26">
        <f t="shared" si="165"/>
        <v>2.6520000000000001</v>
      </c>
      <c r="AA268" s="26">
        <f t="shared" si="165"/>
        <v>2.6520000000000001</v>
      </c>
      <c r="AB268" s="26">
        <f t="shared" si="165"/>
        <v>2.6520000000000001</v>
      </c>
      <c r="AC268" s="26">
        <f t="shared" si="165"/>
        <v>2.6520000000000001</v>
      </c>
      <c r="AD268" s="26"/>
      <c r="AE268" s="26"/>
    </row>
    <row r="269" spans="1:31" x14ac:dyDescent="0.2">
      <c r="A269" s="31" t="s">
        <v>527</v>
      </c>
      <c r="F269" s="56">
        <f>SUM(F$265:F$268)</f>
        <v>4.8159999999999998</v>
      </c>
      <c r="G269" s="56">
        <f t="shared" ref="G269:AC269" si="166">SUM(G$265:G$268)</f>
        <v>3.371</v>
      </c>
      <c r="H269" s="56">
        <f t="shared" si="166"/>
        <v>5.2930000000000001</v>
      </c>
      <c r="I269" s="56">
        <f t="shared" si="166"/>
        <v>2.9740000000000002</v>
      </c>
      <c r="J269" s="56">
        <f t="shared" si="166"/>
        <v>5.5629999999999997</v>
      </c>
      <c r="K269" s="56">
        <f t="shared" si="166"/>
        <v>5.4279999999999999</v>
      </c>
      <c r="L269" s="56">
        <f t="shared" si="166"/>
        <v>4.2690000000000001</v>
      </c>
      <c r="M269" s="56">
        <f t="shared" si="166"/>
        <v>4.5019999999999998</v>
      </c>
      <c r="N269" s="56">
        <f t="shared" si="166"/>
        <v>4.1340000000000003</v>
      </c>
      <c r="O269" s="57">
        <f t="shared" si="166"/>
        <v>4.976</v>
      </c>
      <c r="P269" s="57">
        <f t="shared" si="166"/>
        <v>4.782</v>
      </c>
      <c r="Q269" s="57">
        <f t="shared" si="166"/>
        <v>4.8639999999999999</v>
      </c>
      <c r="R269" s="57">
        <f t="shared" si="166"/>
        <v>4.8499999999999996</v>
      </c>
      <c r="S269" s="57">
        <f t="shared" si="166"/>
        <v>4.8140000000000001</v>
      </c>
      <c r="T269" s="58">
        <f t="shared" ca="1" si="166"/>
        <v>4.9315827016597948</v>
      </c>
      <c r="U269" s="58">
        <f t="shared" ca="1" si="166"/>
        <v>5.0443547023864159</v>
      </c>
      <c r="V269" s="58">
        <f t="shared" ca="1" si="166"/>
        <v>5.1697213736296082</v>
      </c>
      <c r="W269" s="58">
        <f t="shared" ca="1" si="166"/>
        <v>5.3036627223689088</v>
      </c>
      <c r="X269" s="58">
        <f t="shared" ca="1" si="166"/>
        <v>5.4395372491232488</v>
      </c>
      <c r="Y269" s="58">
        <f t="shared" ca="1" si="166"/>
        <v>5.5801509548935009</v>
      </c>
      <c r="Z269" s="58">
        <f t="shared" ca="1" si="166"/>
        <v>5.724284770203635</v>
      </c>
      <c r="AA269" s="58">
        <f t="shared" ca="1" si="166"/>
        <v>5.8718729253104014</v>
      </c>
      <c r="AB269" s="58">
        <f t="shared" ca="1" si="166"/>
        <v>6.0224473952272541</v>
      </c>
      <c r="AC269" s="58">
        <f t="shared" ca="1" si="166"/>
        <v>6.1767237513449729</v>
      </c>
      <c r="AD269" s="26"/>
      <c r="AE269" s="26"/>
    </row>
    <row r="270" spans="1:31" x14ac:dyDescent="0.2">
      <c r="A270" s="31" t="s">
        <v>528</v>
      </c>
      <c r="B270" s="4" t="str">
        <f>$B$46</f>
        <v>From Fiscal Forecasts</v>
      </c>
      <c r="F270" s="23">
        <f>'Fiscal Forecasts'!F$39</f>
        <v>4.6280000000000001</v>
      </c>
      <c r="G270" s="23">
        <f>'Fiscal Forecasts'!G$39</f>
        <v>3.274</v>
      </c>
      <c r="H270" s="23">
        <f>'Fiscal Forecasts'!H$39</f>
        <v>5.1369999999999996</v>
      </c>
      <c r="I270" s="23">
        <f>'Fiscal Forecasts'!I$39</f>
        <v>2.83</v>
      </c>
      <c r="J270" s="23">
        <f>'Fiscal Forecasts'!J$39</f>
        <v>5.5149999999999997</v>
      </c>
      <c r="K270" s="23">
        <f>'Fiscal Forecasts'!K$39</f>
        <v>5.3050000000000006</v>
      </c>
      <c r="L270" s="23">
        <f>'Fiscal Forecasts'!L$39</f>
        <v>3.9350000000000001</v>
      </c>
      <c r="M270" s="23">
        <f>'Fiscal Forecasts'!M$39</f>
        <v>4.1040000000000001</v>
      </c>
      <c r="N270" s="23">
        <f>'Fiscal Forecasts'!N$39</f>
        <v>3.8980000000000001</v>
      </c>
      <c r="O270" s="25">
        <f>'Fiscal Forecasts'!O$39</f>
        <v>4.8179999999999996</v>
      </c>
      <c r="P270" s="25">
        <f>'Fiscal Forecasts'!P$39</f>
        <v>4.5190000000000001</v>
      </c>
      <c r="Q270" s="25">
        <f>'Fiscal Forecasts'!Q$39</f>
        <v>4.6059999999999999</v>
      </c>
      <c r="R270" s="25">
        <f>'Fiscal Forecasts'!R$39</f>
        <v>4.5640000000000001</v>
      </c>
      <c r="S270" s="25">
        <f>'Fiscal Forecasts'!S$39</f>
        <v>4.5339999999999998</v>
      </c>
      <c r="T270" s="11">
        <f ca="1">IF(T$4=OFFSET(Choices!$B$10,0,$C$1),AVERAGE(Q$270/Q$269,R$270/R$269,S$270/S$269),S$270/S$269)*T$269</f>
        <v>4.6518378106002594</v>
      </c>
      <c r="U270" s="11">
        <f ca="1">IF(U$4=OFFSET(Choices!$B$10,0,$C$1),AVERAGE(R$270/R$269,S$270/S$269,T$270/T$269),T$270/T$269)*U$269</f>
        <v>4.7582127998670067</v>
      </c>
      <c r="V270" s="11">
        <f ca="1">IF(V$4=OFFSET(Choices!$B$10,0,$C$1),AVERAGE(S$270/S$269,T$270/T$269,U$270/U$269),U$270/U$269)*V$269</f>
        <v>4.8764680247630414</v>
      </c>
      <c r="W270" s="11">
        <f ca="1">IF(W$4=OFFSET(Choices!$B$10,0,$C$1),AVERAGE(T$270/T$269,U$270/U$269,V$270/V$269),V$270/V$269)*W$269</f>
        <v>5.0028115270748996</v>
      </c>
      <c r="X270" s="11">
        <f ca="1">IF(X$4=OFFSET(Choices!$B$10,0,$C$1),AVERAGE(U$270/U$269,V$270/V$269,W$270/W$269),W$270/W$269)*X$269</f>
        <v>5.1309785475408694</v>
      </c>
      <c r="Y270" s="11">
        <f ca="1">IF(Y$4=OFFSET(Choices!$B$10,0,$C$1),AVERAGE(V$270/V$269,W$270/W$269,X$270/X$269),X$270/X$269)*Y$269</f>
        <v>5.2636159162644089</v>
      </c>
      <c r="Z270" s="11">
        <f ca="1">IF(Z$4=OFFSET(Choices!$B$10,0,$C$1),AVERAGE(W$270/W$269,X$270/X$269,Y$270/Y$269),Y$270/Y$269)*Z$269</f>
        <v>5.3995737156986747</v>
      </c>
      <c r="AA270" s="11">
        <f ca="1">IF(AA$4=OFFSET(Choices!$B$10,0,$C$1),AVERAGE(X$270/X$269,Y$270/Y$269,Z$270/Z$269),Z$270/Z$269)*AA$269</f>
        <v>5.538789906900603</v>
      </c>
      <c r="AB270" s="11">
        <f ca="1">IF(AB$4=OFFSET(Choices!$B$10,0,$C$1),AVERAGE(Y$270/Y$269,Z$270/Z$269,AA$270/AA$269),AA$270/AA$269)*AB$269</f>
        <v>5.6808230136828453</v>
      </c>
      <c r="AC270" s="11">
        <f ca="1">IF(AC$4=OFFSET(Choices!$B$10,0,$C$1),AVERAGE(Z$270/Z$269,AA$270/AA$269,AB$270/AB$269),AB$270/AB$269)*AC$269</f>
        <v>5.8263480165239194</v>
      </c>
      <c r="AD270" s="26"/>
      <c r="AE270" s="26"/>
    </row>
    <row r="271" spans="1:31" x14ac:dyDescent="0.2">
      <c r="A271" s="31"/>
      <c r="B271" s="4"/>
      <c r="F271" s="23"/>
      <c r="G271" s="23"/>
      <c r="H271" s="23"/>
      <c r="I271" s="23"/>
      <c r="J271" s="23"/>
      <c r="K271" s="23"/>
      <c r="L271" s="23"/>
      <c r="M271" s="23"/>
      <c r="N271" s="23"/>
      <c r="O271" s="25"/>
      <c r="P271" s="25"/>
      <c r="Q271" s="25"/>
      <c r="R271" s="25"/>
      <c r="S271" s="25"/>
      <c r="T271" s="25"/>
      <c r="U271" s="25"/>
      <c r="V271" s="25"/>
      <c r="W271" s="25"/>
      <c r="X271" s="25"/>
      <c r="Y271" s="25"/>
      <c r="Z271" s="25"/>
      <c r="AA271" s="25"/>
      <c r="AB271" s="25"/>
      <c r="AC271" s="25"/>
      <c r="AD271" s="26"/>
      <c r="AE271" s="26"/>
    </row>
    <row r="272" spans="1:31" x14ac:dyDescent="0.2">
      <c r="A272" s="31" t="s">
        <v>529</v>
      </c>
      <c r="B272" s="4" t="str">
        <f>$B$46</f>
        <v>From Fiscal Forecasts</v>
      </c>
      <c r="F272" s="23">
        <f>'Fiscal Forecasts'!F$57</f>
        <v>2.6989999999999998</v>
      </c>
      <c r="G272" s="23">
        <f>'Fiscal Forecasts'!G$57</f>
        <v>2.8940000000000001</v>
      </c>
      <c r="H272" s="23">
        <f>'Fiscal Forecasts'!H$57</f>
        <v>3.089</v>
      </c>
      <c r="I272" s="23">
        <f>'Fiscal Forecasts'!I$57</f>
        <v>3.1909999999999998</v>
      </c>
      <c r="J272" s="23">
        <f>'Fiscal Forecasts'!J$57</f>
        <v>3.3820000000000001</v>
      </c>
      <c r="K272" s="23">
        <f>'Fiscal Forecasts'!K$57</f>
        <v>3.403</v>
      </c>
      <c r="L272" s="23">
        <f>'Fiscal Forecasts'!L$57</f>
        <v>3.456</v>
      </c>
      <c r="M272" s="23">
        <f>'Fiscal Forecasts'!M$57</f>
        <v>3.4630000000000001</v>
      </c>
      <c r="N272" s="23">
        <f>'Fiscal Forecasts'!N$57</f>
        <v>3.5150000000000001</v>
      </c>
      <c r="O272" s="25">
        <f>'Fiscal Forecasts'!O$57</f>
        <v>3.6349999999999998</v>
      </c>
      <c r="P272" s="25">
        <f>'Fiscal Forecasts'!P$57</f>
        <v>3.53</v>
      </c>
      <c r="Q272" s="25">
        <f>'Fiscal Forecasts'!Q$57</f>
        <v>3.5179999999999998</v>
      </c>
      <c r="R272" s="25">
        <f>'Fiscal Forecasts'!R$57</f>
        <v>3.51</v>
      </c>
      <c r="S272" s="25">
        <f>'Fiscal Forecasts'!S$57</f>
        <v>3.5129999999999999</v>
      </c>
      <c r="T272" s="11">
        <f t="shared" ref="T272:AC272" si="167">S$272</f>
        <v>3.5129999999999999</v>
      </c>
      <c r="U272" s="11">
        <f t="shared" si="167"/>
        <v>3.5129999999999999</v>
      </c>
      <c r="V272" s="11">
        <f t="shared" si="167"/>
        <v>3.5129999999999999</v>
      </c>
      <c r="W272" s="11">
        <f t="shared" si="167"/>
        <v>3.5129999999999999</v>
      </c>
      <c r="X272" s="11">
        <f t="shared" si="167"/>
        <v>3.5129999999999999</v>
      </c>
      <c r="Y272" s="11">
        <f t="shared" si="167"/>
        <v>3.5129999999999999</v>
      </c>
      <c r="Z272" s="11">
        <f t="shared" si="167"/>
        <v>3.5129999999999999</v>
      </c>
      <c r="AA272" s="11">
        <f t="shared" si="167"/>
        <v>3.5129999999999999</v>
      </c>
      <c r="AB272" s="11">
        <f t="shared" si="167"/>
        <v>3.5129999999999999</v>
      </c>
      <c r="AC272" s="11">
        <f t="shared" si="167"/>
        <v>3.5129999999999999</v>
      </c>
      <c r="AD272" s="26"/>
      <c r="AE272" s="26"/>
    </row>
    <row r="273" spans="1:31" x14ac:dyDescent="0.2">
      <c r="A273" s="31" t="s">
        <v>530</v>
      </c>
      <c r="B273" s="4" t="str">
        <f>$B$46</f>
        <v>From Fiscal Forecasts</v>
      </c>
      <c r="F273" s="23">
        <f>'Fiscal Forecasts'!F$40</f>
        <v>2.8220000000000001</v>
      </c>
      <c r="G273" s="23">
        <f>'Fiscal Forecasts'!G$40</f>
        <v>3.0819999999999999</v>
      </c>
      <c r="H273" s="23">
        <f>'Fiscal Forecasts'!H$40</f>
        <v>3.25</v>
      </c>
      <c r="I273" s="23">
        <f>'Fiscal Forecasts'!I$40</f>
        <v>3.3540000000000001</v>
      </c>
      <c r="J273" s="23">
        <f>'Fiscal Forecasts'!J$40</f>
        <v>3.5670000000000002</v>
      </c>
      <c r="K273" s="23">
        <f>'Fiscal Forecasts'!K$40</f>
        <v>3.5920000000000001</v>
      </c>
      <c r="L273" s="23">
        <f>'Fiscal Forecasts'!L$40</f>
        <v>3.67</v>
      </c>
      <c r="M273" s="23">
        <f>'Fiscal Forecasts'!M$40</f>
        <v>3.6920000000000002</v>
      </c>
      <c r="N273" s="23">
        <f>'Fiscal Forecasts'!N$40</f>
        <v>3.73</v>
      </c>
      <c r="O273" s="25">
        <f>'Fiscal Forecasts'!O$40</f>
        <v>3.8530000000000002</v>
      </c>
      <c r="P273" s="25">
        <f>'Fiscal Forecasts'!P$40</f>
        <v>3.7629999999999999</v>
      </c>
      <c r="Q273" s="25">
        <f>'Fiscal Forecasts'!Q$40</f>
        <v>3.7589999999999999</v>
      </c>
      <c r="R273" s="25">
        <f>'Fiscal Forecasts'!R$40</f>
        <v>3.7629999999999999</v>
      </c>
      <c r="S273" s="25">
        <f>'Fiscal Forecasts'!S$40</f>
        <v>3.774</v>
      </c>
      <c r="T273" s="11">
        <f ca="1">IF(T$4=OFFSET(Choices!$B$10,0,$C$1),AVERAGE(Q$273/Q$272,R$273/R$272,S$273/S$272),S$273/S$272)*T$272</f>
        <v>3.7646245717182611</v>
      </c>
      <c r="U273" s="11">
        <f ca="1">IF(U$4=OFFSET(Choices!$B$10,0,$C$1),AVERAGE(R$273/R$272,S$273/S$272,T$273/T$272),T$273/T$272)*U$272</f>
        <v>3.7646245717182611</v>
      </c>
      <c r="V273" s="11">
        <f ca="1">IF(V$4=OFFSET(Choices!$B$10,0,$C$1),AVERAGE(S$273/S$272,T$273/T$272,U$273/U$272),U$273/U$272)*V$272</f>
        <v>3.7646245717182611</v>
      </c>
      <c r="W273" s="11">
        <f ca="1">IF(W$4=OFFSET(Choices!$B$10,0,$C$1),AVERAGE(T$273/T$272,U$273/U$272,V$273/V$272),V$273/V$272)*W$272</f>
        <v>3.7646245717182611</v>
      </c>
      <c r="X273" s="11">
        <f ca="1">IF(X$4=OFFSET(Choices!$B$10,0,$C$1),AVERAGE(U$273/U$272,V$273/V$272,W$273/W$272),W$273/W$272)*X$272</f>
        <v>3.7646245717182611</v>
      </c>
      <c r="Y273" s="11">
        <f ca="1">IF(Y$4=OFFSET(Choices!$B$10,0,$C$1),AVERAGE(V$273/V$272,W$273/W$272,X$273/X$272),X$273/X$272)*Y$272</f>
        <v>3.7646245717182611</v>
      </c>
      <c r="Z273" s="11">
        <f ca="1">IF(Z$4=OFFSET(Choices!$B$10,0,$C$1),AVERAGE(W$273/W$272,X$273/X$272,Y$273/Y$272),Y$273/Y$272)*Z$272</f>
        <v>3.7646245717182611</v>
      </c>
      <c r="AA273" s="11">
        <f ca="1">IF(AA$4=OFFSET(Choices!$B$10,0,$C$1),AVERAGE(X$273/X$272,Y$273/Y$272,Z$273/Z$272),Z$273/Z$272)*AA$272</f>
        <v>3.7646245717182611</v>
      </c>
      <c r="AB273" s="11">
        <f ca="1">IF(AB$4=OFFSET(Choices!$B$10,0,$C$1),AVERAGE(Y$273/Y$272,Z$273/Z$272,AA$273/AA$272),AA$273/AA$272)*AB$272</f>
        <v>3.7646245717182611</v>
      </c>
      <c r="AC273" s="11">
        <f ca="1">IF(AC$4=OFFSET(Choices!$B$10,0,$C$1),AVERAGE(Z$273/Z$272,AA$273/AA$272,AB$273/AB$272),AB$273/AB$272)*AC$272</f>
        <v>3.7646245717182611</v>
      </c>
      <c r="AD273" s="26"/>
      <c r="AE273" s="26"/>
    </row>
    <row r="274" spans="1:31" x14ac:dyDescent="0.2">
      <c r="A274" s="31"/>
      <c r="B274" s="4"/>
      <c r="F274" s="23"/>
      <c r="G274" s="23"/>
      <c r="H274" s="23"/>
      <c r="I274" s="23"/>
      <c r="J274" s="23"/>
      <c r="K274" s="23"/>
      <c r="L274" s="23"/>
      <c r="M274" s="23"/>
      <c r="N274" s="23"/>
      <c r="O274" s="25"/>
      <c r="P274" s="25"/>
      <c r="Q274" s="25"/>
      <c r="R274" s="25"/>
      <c r="S274" s="25"/>
      <c r="T274" s="11"/>
      <c r="U274" s="11"/>
      <c r="V274" s="11"/>
      <c r="W274" s="11"/>
      <c r="X274" s="11"/>
      <c r="Y274" s="11"/>
      <c r="Z274" s="11"/>
      <c r="AA274" s="11"/>
      <c r="AB274" s="11"/>
      <c r="AC274" s="11"/>
      <c r="AD274" s="26"/>
      <c r="AE274" s="26"/>
    </row>
    <row r="275" spans="1:31" x14ac:dyDescent="0.2">
      <c r="A275" s="31" t="s">
        <v>531</v>
      </c>
      <c r="B275" s="4" t="str">
        <f>$B$46</f>
        <v>From Fiscal Forecasts</v>
      </c>
      <c r="F275" s="23">
        <f>'Fiscal Forecasts'!F$58</f>
        <v>1.5169999999999999</v>
      </c>
      <c r="G275" s="23">
        <f>'Fiscal Forecasts'!G$58</f>
        <v>1.5620000000000001</v>
      </c>
      <c r="H275" s="23">
        <f>'Fiscal Forecasts'!H$58</f>
        <v>1.7569999999999999</v>
      </c>
      <c r="I275" s="23">
        <f>'Fiscal Forecasts'!I$58</f>
        <v>1.8140000000000001</v>
      </c>
      <c r="J275" s="23">
        <f>'Fiscal Forecasts'!J$58</f>
        <v>1.8089999999999999</v>
      </c>
      <c r="K275" s="23">
        <f>'Fiscal Forecasts'!K$58</f>
        <v>1.736</v>
      </c>
      <c r="L275" s="23">
        <f>'Fiscal Forecasts'!L$58</f>
        <v>1.804</v>
      </c>
      <c r="M275" s="23">
        <f>'Fiscal Forecasts'!M$58</f>
        <v>1.8109999999999999</v>
      </c>
      <c r="N275" s="23">
        <f>'Fiscal Forecasts'!N$58</f>
        <v>1.9610000000000001</v>
      </c>
      <c r="O275" s="25">
        <f>'Fiscal Forecasts'!O$58</f>
        <v>2.0790000000000002</v>
      </c>
      <c r="P275" s="25">
        <f>'Fiscal Forecasts'!P$58</f>
        <v>2.1459999999999999</v>
      </c>
      <c r="Q275" s="25">
        <f>'Fiscal Forecasts'!Q$58</f>
        <v>2.11</v>
      </c>
      <c r="R275" s="25">
        <f>'Fiscal Forecasts'!R$58</f>
        <v>2.117</v>
      </c>
      <c r="S275" s="25">
        <f>'Fiscal Forecasts'!S$58</f>
        <v>2.117</v>
      </c>
      <c r="T275" s="11">
        <f t="shared" ref="T275:AC275" si="168">S$275</f>
        <v>2.117</v>
      </c>
      <c r="U275" s="11">
        <f t="shared" si="168"/>
        <v>2.117</v>
      </c>
      <c r="V275" s="11">
        <f t="shared" si="168"/>
        <v>2.117</v>
      </c>
      <c r="W275" s="11">
        <f t="shared" si="168"/>
        <v>2.117</v>
      </c>
      <c r="X275" s="11">
        <f t="shared" si="168"/>
        <v>2.117</v>
      </c>
      <c r="Y275" s="11">
        <f t="shared" si="168"/>
        <v>2.117</v>
      </c>
      <c r="Z275" s="11">
        <f t="shared" si="168"/>
        <v>2.117</v>
      </c>
      <c r="AA275" s="11">
        <f t="shared" si="168"/>
        <v>2.117</v>
      </c>
      <c r="AB275" s="11">
        <f t="shared" si="168"/>
        <v>2.117</v>
      </c>
      <c r="AC275" s="11">
        <f t="shared" si="168"/>
        <v>2.117</v>
      </c>
      <c r="AD275" s="26"/>
      <c r="AE275" s="26"/>
    </row>
    <row r="276" spans="1:31" x14ac:dyDescent="0.2">
      <c r="A276" s="31" t="s">
        <v>532</v>
      </c>
      <c r="B276" s="4" t="str">
        <f>$B$46</f>
        <v>From Fiscal Forecasts</v>
      </c>
      <c r="F276" s="23">
        <f>'Fiscal Forecasts'!F$41</f>
        <v>1.478</v>
      </c>
      <c r="G276" s="23">
        <f>'Fiscal Forecasts'!G$41</f>
        <v>1.5249999999999999</v>
      </c>
      <c r="H276" s="23">
        <f>'Fiscal Forecasts'!H$41</f>
        <v>1.712</v>
      </c>
      <c r="I276" s="23">
        <f>'Fiscal Forecasts'!I$41</f>
        <v>1.7709999999999999</v>
      </c>
      <c r="J276" s="23">
        <f>'Fiscal Forecasts'!J$41</f>
        <v>1.778</v>
      </c>
      <c r="K276" s="23">
        <f>'Fiscal Forecasts'!K$41</f>
        <v>1.6930000000000001</v>
      </c>
      <c r="L276" s="23">
        <f>'Fiscal Forecasts'!L$41</f>
        <v>1.766</v>
      </c>
      <c r="M276" s="23">
        <f>'Fiscal Forecasts'!M$41</f>
        <v>1.776</v>
      </c>
      <c r="N276" s="23">
        <f>'Fiscal Forecasts'!N$41</f>
        <v>1.917</v>
      </c>
      <c r="O276" s="25">
        <f>'Fiscal Forecasts'!O$41</f>
        <v>2.0510000000000002</v>
      </c>
      <c r="P276" s="25">
        <f>'Fiscal Forecasts'!P$41</f>
        <v>2.1179999999999999</v>
      </c>
      <c r="Q276" s="25">
        <f>'Fiscal Forecasts'!Q$41</f>
        <v>2.0819999999999999</v>
      </c>
      <c r="R276" s="25">
        <f>'Fiscal Forecasts'!R$41</f>
        <v>2.089</v>
      </c>
      <c r="S276" s="25">
        <f>'Fiscal Forecasts'!S$41</f>
        <v>2.089</v>
      </c>
      <c r="T276" s="11">
        <f ca="1">IF(T$4=OFFSET(Choices!$B$10,0,$C$1),AVERAGE(Q$276/Q$275,R$276/R$275,S$276/S$275),S$276/S$275)*T$275</f>
        <v>2.0889690363349129</v>
      </c>
      <c r="U276" s="11">
        <f ca="1">IF(U$4=OFFSET(Choices!$B$10,0,$C$1),AVERAGE(R$276/R$275,S$276/S$275,T$276/T$275),T$276/T$275)*U$275</f>
        <v>2.0889690363349129</v>
      </c>
      <c r="V276" s="11">
        <f ca="1">IF(V$4=OFFSET(Choices!$B$10,0,$C$1),AVERAGE(S$276/S$275,T$276/T$275,U$276/U$275),U$276/U$275)*V$275</f>
        <v>2.0889690363349129</v>
      </c>
      <c r="W276" s="11">
        <f ca="1">IF(W$4=OFFSET(Choices!$B$10,0,$C$1),AVERAGE(T$276/T$275,U$276/U$275,V$276/V$275),V$276/V$275)*W$275</f>
        <v>2.0889690363349129</v>
      </c>
      <c r="X276" s="11">
        <f ca="1">IF(X$4=OFFSET(Choices!$B$10,0,$C$1),AVERAGE(U$276/U$275,V$276/V$275,W$276/W$275),W$276/W$275)*X$275</f>
        <v>2.0889690363349129</v>
      </c>
      <c r="Y276" s="11">
        <f ca="1">IF(Y$4=OFFSET(Choices!$B$10,0,$C$1),AVERAGE(V$276/V$275,W$276/W$275,X$276/X$275),X$276/X$275)*Y$275</f>
        <v>2.0889690363349129</v>
      </c>
      <c r="Z276" s="11">
        <f ca="1">IF(Z$4=OFFSET(Choices!$B$10,0,$C$1),AVERAGE(W$276/W$275,X$276/X$275,Y$276/Y$275),Y$276/Y$275)*Z$275</f>
        <v>2.0889690363349129</v>
      </c>
      <c r="AA276" s="11">
        <f ca="1">IF(AA$4=OFFSET(Choices!$B$10,0,$C$1),AVERAGE(X$276/X$275,Y$276/Y$275,Z$276/Z$275),Z$276/Z$275)*AA$275</f>
        <v>2.0889690363349129</v>
      </c>
      <c r="AB276" s="11">
        <f ca="1">IF(AB$4=OFFSET(Choices!$B$10,0,$C$1),AVERAGE(Y$276/Y$275,Z$276/Z$275,AA$276/AA$275),AA$276/AA$275)*AB$275</f>
        <v>2.0889690363349129</v>
      </c>
      <c r="AC276" s="11">
        <f ca="1">IF(AC$4=OFFSET(Choices!$B$10,0,$C$1),AVERAGE(Z$276/Z$275,AA$276/AA$275,AB$276/AB$275),AB$276/AB$275)*AC$275</f>
        <v>2.0889690363349129</v>
      </c>
      <c r="AD276" s="26"/>
      <c r="AE276" s="26"/>
    </row>
    <row r="277" spans="1:31" x14ac:dyDescent="0.2">
      <c r="AD277" s="26"/>
      <c r="AE277" s="26"/>
    </row>
    <row r="278" spans="1:31" x14ac:dyDescent="0.2">
      <c r="A278" s="31" t="s">
        <v>522</v>
      </c>
      <c r="AD278" s="26"/>
      <c r="AE278" s="26"/>
    </row>
    <row r="279" spans="1:31" x14ac:dyDescent="0.2">
      <c r="A279" s="3" t="s">
        <v>412</v>
      </c>
      <c r="B279" s="4" t="str">
        <f>$B$46</f>
        <v>From Fiscal Forecasts</v>
      </c>
      <c r="F279" s="21">
        <f>'Fiscal Forecasts'!F$59</f>
        <v>2.4049999999999998</v>
      </c>
      <c r="G279" s="21">
        <f>'Fiscal Forecasts'!G$59</f>
        <v>2.2440000000000002</v>
      </c>
      <c r="H279" s="21">
        <f>'Fiscal Forecasts'!H$59</f>
        <v>2.6629999999999998</v>
      </c>
      <c r="I279" s="21">
        <f>'Fiscal Forecasts'!I$59</f>
        <v>2.3450000000000002</v>
      </c>
      <c r="J279" s="21">
        <f>'Fiscal Forecasts'!J$59</f>
        <v>2.2810000000000001</v>
      </c>
      <c r="K279" s="21">
        <f>'Fiscal Forecasts'!K$59</f>
        <v>2.2320000000000002</v>
      </c>
      <c r="L279" s="21">
        <f>'Fiscal Forecasts'!L$59</f>
        <v>2.2549999999999999</v>
      </c>
      <c r="M279" s="21">
        <f>'Fiscal Forecasts'!M$59</f>
        <v>2.2370000000000001</v>
      </c>
      <c r="N279" s="21">
        <f>'Fiscal Forecasts'!N$59</f>
        <v>2.2909999999999999</v>
      </c>
      <c r="O279" s="24">
        <f>'Fiscal Forecasts'!O$59</f>
        <v>2.2650000000000001</v>
      </c>
      <c r="P279" s="24">
        <f>'Fiscal Forecasts'!P$59</f>
        <v>2.3210000000000002</v>
      </c>
      <c r="Q279" s="24">
        <f>'Fiscal Forecasts'!Q$59</f>
        <v>2.4039999999999999</v>
      </c>
      <c r="R279" s="24">
        <f>'Fiscal Forecasts'!R$59</f>
        <v>2.4350000000000001</v>
      </c>
      <c r="S279" s="24">
        <f>'Fiscal Forecasts'!S$59</f>
        <v>2.42</v>
      </c>
      <c r="T279" s="26">
        <f t="shared" ref="T279:AC279" ca="1" si="169">S$279*T$138/S$138</f>
        <v>2.5687585466072473</v>
      </c>
      <c r="U279" s="26">
        <f t="shared" ca="1" si="169"/>
        <v>2.6826331315185152</v>
      </c>
      <c r="V279" s="26">
        <f t="shared" ca="1" si="169"/>
        <v>2.8030576542920684</v>
      </c>
      <c r="W279" s="26">
        <f t="shared" ca="1" si="169"/>
        <v>2.9279586472466979</v>
      </c>
      <c r="X279" s="26">
        <f t="shared" ca="1" si="169"/>
        <v>3.0580108071266752</v>
      </c>
      <c r="Y279" s="26">
        <f t="shared" ca="1" si="169"/>
        <v>3.1922677453549784</v>
      </c>
      <c r="Z279" s="26">
        <f t="shared" ca="1" si="169"/>
        <v>3.3304560631303008</v>
      </c>
      <c r="AA279" s="26">
        <f t="shared" ca="1" si="169"/>
        <v>3.4726729834384074</v>
      </c>
      <c r="AB279" s="26">
        <f t="shared" ca="1" si="169"/>
        <v>3.6183693317048049</v>
      </c>
      <c r="AC279" s="26">
        <f t="shared" ca="1" si="169"/>
        <v>3.7683044354454207</v>
      </c>
      <c r="AD279" s="26"/>
      <c r="AE279" s="26"/>
    </row>
    <row r="280" spans="1:31" x14ac:dyDescent="0.2">
      <c r="A280" s="3" t="s">
        <v>413</v>
      </c>
      <c r="B280" s="4" t="str">
        <f>$B$46</f>
        <v>From Fiscal Forecasts</v>
      </c>
      <c r="F280" s="21">
        <f>'Fiscal Forecasts'!F$175</f>
        <v>1.5980000000000001</v>
      </c>
      <c r="G280" s="21">
        <f>'Fiscal Forecasts'!G$175</f>
        <v>1.7370000000000001</v>
      </c>
      <c r="H280" s="21">
        <f>'Fiscal Forecasts'!H$175</f>
        <v>2.032</v>
      </c>
      <c r="I280" s="21">
        <f>'Fiscal Forecasts'!I$175</f>
        <v>2.1080000000000001</v>
      </c>
      <c r="J280" s="21">
        <f>'Fiscal Forecasts'!J$175</f>
        <v>2.117</v>
      </c>
      <c r="K280" s="21">
        <f>'Fiscal Forecasts'!K$175</f>
        <v>2.13</v>
      </c>
      <c r="L280" s="21">
        <f>'Fiscal Forecasts'!L$175</f>
        <v>2.25</v>
      </c>
      <c r="M280" s="21">
        <f>'Fiscal Forecasts'!M$175</f>
        <v>2.2890000000000001</v>
      </c>
      <c r="N280" s="21">
        <f>'Fiscal Forecasts'!N$175</f>
        <v>2.5640000000000001</v>
      </c>
      <c r="O280" s="24">
        <f>'Fiscal Forecasts'!O$175</f>
        <v>2.6669999999999998</v>
      </c>
      <c r="P280" s="24">
        <f>'Fiscal Forecasts'!P$175</f>
        <v>2.6909999999999998</v>
      </c>
      <c r="Q280" s="24">
        <f>'Fiscal Forecasts'!Q$175</f>
        <v>2.7040000000000002</v>
      </c>
      <c r="R280" s="24">
        <f>'Fiscal Forecasts'!R$175</f>
        <v>2.681</v>
      </c>
      <c r="S280" s="24">
        <f>'Fiscal Forecasts'!S$175</f>
        <v>2.63</v>
      </c>
      <c r="T280" s="26">
        <f ca="1">IF(T$4=OFFSET(Choices!$B$10,0,$C$1),AVERAGE(Q$280/Q$279,R$280/R$279,S$280/S$279),S$280/S$279)*T$279</f>
        <v>2.8364193912753572</v>
      </c>
      <c r="U280" s="26">
        <f ca="1">IF(U$4=OFFSET(Choices!$B$10,0,$C$1),AVERAGE(R$280/R$279,S$280/S$279,T$280/T$279),T$280/T$279)*U$279</f>
        <v>2.9621595396604041</v>
      </c>
      <c r="V280" s="26">
        <f ca="1">IF(V$4=OFFSET(Choices!$B$10,0,$C$1),AVERAGE(S$280/S$279,T$280/T$279,U$280/U$279),U$280/U$279)*V$279</f>
        <v>3.0951321197540569</v>
      </c>
      <c r="W280" s="26">
        <f ca="1">IF(W$4=OFFSET(Choices!$B$10,0,$C$1),AVERAGE(T$280/T$279,U$280/U$279,V$280/V$279),V$280/V$279)*W$279</f>
        <v>3.2330476116067151</v>
      </c>
      <c r="X280" s="26">
        <f ca="1">IF(X$4=OFFSET(Choices!$B$10,0,$C$1),AVERAGE(U$280/U$279,V$280/V$279,W$280/W$279),W$280/W$279)*X$279</f>
        <v>3.376651014366395</v>
      </c>
      <c r="Y280" s="26">
        <f ca="1">IF(Y$4=OFFSET(Choices!$B$10,0,$C$1),AVERAGE(V$280/V$279,W$280/W$279,X$280/X$279),X$280/X$279)*Y$279</f>
        <v>3.5248973271648403</v>
      </c>
      <c r="Z280" s="26">
        <f ca="1">IF(Z$4=OFFSET(Choices!$B$10,0,$C$1),AVERAGE(W$280/W$279,X$280/X$279,Y$280/Y$279),Y$280/Y$279)*Z$279</f>
        <v>3.6774846634496523</v>
      </c>
      <c r="AA280" s="26">
        <f ca="1">IF(AA$4=OFFSET(Choices!$B$10,0,$C$1),AVERAGE(X$280/X$279,Y$280/Y$279,Z$280/Z$279),Z$280/Z$279)*AA$279</f>
        <v>3.834520376698046</v>
      </c>
      <c r="AB280" s="26">
        <f ca="1">IF(AB$4=OFFSET(Choices!$B$10,0,$C$1),AVERAGE(Y$280/Y$279,Z$280/Z$279,AA$280/AA$279),AA$280/AA$279)*AB$279</f>
        <v>3.9953980691563875</v>
      </c>
      <c r="AC280" s="26">
        <f ca="1">IF(AC$4=OFFSET(Choices!$B$10,0,$C$1),AVERAGE(Z$280/Z$279,AA$280/AA$279,AB$280/AB$279),AB$280/AB$279)*AC$279</f>
        <v>4.1609561891456961</v>
      </c>
      <c r="AD280" s="26"/>
      <c r="AE280" s="26"/>
    </row>
    <row r="281" spans="1:31" x14ac:dyDescent="0.2">
      <c r="A281" s="3" t="s">
        <v>414</v>
      </c>
      <c r="B281" s="4" t="str">
        <f>$B$46</f>
        <v>From Fiscal Forecasts</v>
      </c>
      <c r="F281" s="21">
        <f>'Fiscal Forecasts'!F$176</f>
        <v>5.3380000000000001</v>
      </c>
      <c r="G281" s="21">
        <f>'Fiscal Forecasts'!G$176</f>
        <v>5.8319999999999999</v>
      </c>
      <c r="H281" s="21">
        <f>'Fiscal Forecasts'!H$176</f>
        <v>6.7670000000000003</v>
      </c>
      <c r="I281" s="21">
        <f>'Fiscal Forecasts'!I$176</f>
        <v>5.9770000000000003</v>
      </c>
      <c r="J281" s="21">
        <f>'Fiscal Forecasts'!J$176</f>
        <v>6.2030000000000003</v>
      </c>
      <c r="K281" s="21">
        <f>'Fiscal Forecasts'!K$176</f>
        <v>8.1020000000000003</v>
      </c>
      <c r="L281" s="21">
        <f>'Fiscal Forecasts'!L$176</f>
        <v>6.891</v>
      </c>
      <c r="M281" s="21">
        <f>'Fiscal Forecasts'!M$176</f>
        <v>6.9089999999999998</v>
      </c>
      <c r="N281" s="21">
        <f>'Fiscal Forecasts'!N$176</f>
        <v>6.9189999999999996</v>
      </c>
      <c r="O281" s="24">
        <f>'Fiscal Forecasts'!O$176</f>
        <v>7.1189999999999998</v>
      </c>
      <c r="P281" s="24">
        <f>'Fiscal Forecasts'!P$176</f>
        <v>7.3819999999999997</v>
      </c>
      <c r="Q281" s="24">
        <f>'Fiscal Forecasts'!Q$176</f>
        <v>7.6589999999999998</v>
      </c>
      <c r="R281" s="24">
        <f>'Fiscal Forecasts'!R$176</f>
        <v>7.8689999999999998</v>
      </c>
      <c r="S281" s="24">
        <f>'Fiscal Forecasts'!S$176</f>
        <v>8.0890000000000004</v>
      </c>
      <c r="T281" s="26">
        <f t="shared" ref="T281:AC281" ca="1" si="170">S$281*T$11/S$11</f>
        <v>8.448253945137715</v>
      </c>
      <c r="U281" s="26">
        <f t="shared" ca="1" si="170"/>
        <v>8.8227700367720114</v>
      </c>
      <c r="V281" s="26">
        <f t="shared" ca="1" si="170"/>
        <v>9.218827872163633</v>
      </c>
      <c r="W281" s="26">
        <f t="shared" ca="1" si="170"/>
        <v>9.6296081332645613</v>
      </c>
      <c r="X281" s="26">
        <f t="shared" ca="1" si="170"/>
        <v>10.057329794465787</v>
      </c>
      <c r="Y281" s="26">
        <f t="shared" ca="1" si="170"/>
        <v>10.498880328496105</v>
      </c>
      <c r="Z281" s="26">
        <f t="shared" ca="1" si="170"/>
        <v>10.953360568516816</v>
      </c>
      <c r="AA281" s="26">
        <f t="shared" ca="1" si="170"/>
        <v>11.421090266056972</v>
      </c>
      <c r="AB281" s="26">
        <f t="shared" ca="1" si="170"/>
        <v>11.90026326994224</v>
      </c>
      <c r="AC281" s="26">
        <f t="shared" ca="1" si="170"/>
        <v>12.393376892226552</v>
      </c>
      <c r="AD281" s="26"/>
      <c r="AE281" s="26"/>
    </row>
    <row r="282" spans="1:31" x14ac:dyDescent="0.2">
      <c r="A282" s="3" t="s">
        <v>415</v>
      </c>
      <c r="B282" s="4" t="str">
        <f>$B$46</f>
        <v>From Fiscal Forecasts</v>
      </c>
      <c r="F282" s="21">
        <f>'Fiscal Forecasts'!F$42-SUM(F$279:F$281)</f>
        <v>-2.3510000000000009</v>
      </c>
      <c r="G282" s="21">
        <f>'Fiscal Forecasts'!G$42-SUM(G$279:G$281)</f>
        <v>-2.3890000000000002</v>
      </c>
      <c r="H282" s="21">
        <f>'Fiscal Forecasts'!H$42-SUM(H$279:H$281)</f>
        <v>-2.4390000000000001</v>
      </c>
      <c r="I282" s="21">
        <f>'Fiscal Forecasts'!I$42-SUM(I$279:I$281)</f>
        <v>-2.4390000000000001</v>
      </c>
      <c r="J282" s="21">
        <f>'Fiscal Forecasts'!J$42-SUM(J$279:J$281)</f>
        <v>-2.1989999999999998</v>
      </c>
      <c r="K282" s="21">
        <f>'Fiscal Forecasts'!K$42-SUM(K$279:K$281)</f>
        <v>-2.2050000000000001</v>
      </c>
      <c r="L282" s="21">
        <f>'Fiscal Forecasts'!L$42-SUM(L$279:L$281)</f>
        <v>-2.3440000000000012</v>
      </c>
      <c r="M282" s="21">
        <f>'Fiscal Forecasts'!M$42-SUM(M$279:M$281)</f>
        <v>-2.2979999999999983</v>
      </c>
      <c r="N282" s="21">
        <f>'Fiscal Forecasts'!N$42-SUM(N$279:N$281)</f>
        <v>-2.495000000000001</v>
      </c>
      <c r="O282" s="24">
        <f>'Fiscal Forecasts'!O$42-SUM(O$279:O$281)</f>
        <v>-2.6020000000000003</v>
      </c>
      <c r="P282" s="24">
        <f>'Fiscal Forecasts'!P$42-SUM(P$279:P$281)</f>
        <v>-2.6140000000000008</v>
      </c>
      <c r="Q282" s="24">
        <f>'Fiscal Forecasts'!Q$42-SUM(Q$279:Q$281)</f>
        <v>-2.6869999999999994</v>
      </c>
      <c r="R282" s="24">
        <f>'Fiscal Forecasts'!R$42-SUM(R$279:R$281)</f>
        <v>-2.7279999999999998</v>
      </c>
      <c r="S282" s="24">
        <f>'Fiscal Forecasts'!S$42-SUM(S$279:S$281)</f>
        <v>-2.7439999999999998</v>
      </c>
      <c r="T282" s="26">
        <f ca="1">IF(T$4=OFFSET(Choices!$B$10,0,$C$1),AVERAGE(Q$282/Q$279,R$282/R$279,S$282/S$279),S$282/S$279)*T$279</f>
        <v>-2.8872274990354554</v>
      </c>
      <c r="U282" s="26">
        <f ca="1">IF(U$4=OFFSET(Choices!$B$10,0,$C$1),AVERAGE(R$282/R$279,S$282/S$279,T$282/T$279),T$282/T$279)*U$279</f>
        <v>-3.0152200008730872</v>
      </c>
      <c r="V282" s="26">
        <f ca="1">IF(V$4=OFFSET(Choices!$B$10,0,$C$1),AVERAGE(S$282/S$279,T$282/T$279,U$282/U$279),U$282/U$279)*V$279</f>
        <v>-3.1505744872529955</v>
      </c>
      <c r="W282" s="26">
        <f ca="1">IF(W$4=OFFSET(Choices!$B$10,0,$C$1),AVERAGE(T$282/T$279,U$282/U$279,V$282/V$279),V$282/V$279)*W$279</f>
        <v>-3.290960426597795</v>
      </c>
      <c r="X282" s="26">
        <f ca="1">IF(X$4=OFFSET(Choices!$B$10,0,$C$1),AVERAGE(U$282/U$279,V$282/V$279,W$282/W$279),W$282/W$279)*X$279</f>
        <v>-3.4371361630485269</v>
      </c>
      <c r="Y282" s="26">
        <f ca="1">IF(Y$4=OFFSET(Choices!$B$10,0,$C$1),AVERAGE(V$282/V$279,W$282/W$279,X$282/X$279),X$282/X$279)*Y$279</f>
        <v>-3.5880379768842543</v>
      </c>
      <c r="Z282" s="26">
        <f ca="1">IF(Z$4=OFFSET(Choices!$B$10,0,$C$1),AVERAGE(W$282/W$279,X$282/X$279,Y$282/Y$279),Y$282/Y$279)*Z$279</f>
        <v>-3.7433585739303745</v>
      </c>
      <c r="AA282" s="26">
        <f ca="1">IF(AA$4=OFFSET(Choices!$B$10,0,$C$1),AVERAGE(X$282/X$279,Y$282/Y$279,Z$282/Z$279),Z$282/Z$279)*AA$279</f>
        <v>-3.9032072306614736</v>
      </c>
      <c r="AB282" s="26">
        <f ca="1">IF(AB$4=OFFSET(Choices!$B$10,0,$C$1),AVERAGE(Y$282/Y$279,Z$282/Z$279,AA$282/AA$279),AA$282/AA$279)*AB$279</f>
        <v>-4.0669666870647951</v>
      </c>
      <c r="AC282" s="26">
        <f ca="1">IF(AC$4=OFFSET(Choices!$B$10,0,$C$1),AVERAGE(Z$282/Z$279,AA$282/AA$279,AB$282/AB$279),AB$282/AB$279)*AC$279</f>
        <v>-4.2354904103872535</v>
      </c>
      <c r="AD282" s="26"/>
      <c r="AE282" s="26"/>
    </row>
    <row r="283" spans="1:31" x14ac:dyDescent="0.2">
      <c r="A283" s="31" t="s">
        <v>523</v>
      </c>
      <c r="F283" s="56">
        <f>SUM(F$279:F$282)</f>
        <v>6.99</v>
      </c>
      <c r="G283" s="56">
        <f t="shared" ref="G283:AC283" si="171">SUM(G$279:G$282)</f>
        <v>7.4240000000000004</v>
      </c>
      <c r="H283" s="56">
        <f t="shared" si="171"/>
        <v>9.0229999999999997</v>
      </c>
      <c r="I283" s="56">
        <f t="shared" si="171"/>
        <v>7.9909999999999997</v>
      </c>
      <c r="J283" s="56">
        <f t="shared" si="171"/>
        <v>8.4019999999999992</v>
      </c>
      <c r="K283" s="56">
        <f t="shared" si="171"/>
        <v>10.259</v>
      </c>
      <c r="L283" s="56">
        <f t="shared" si="171"/>
        <v>9.0519999999999996</v>
      </c>
      <c r="M283" s="56">
        <f t="shared" si="171"/>
        <v>9.1370000000000005</v>
      </c>
      <c r="N283" s="56">
        <f t="shared" si="171"/>
        <v>9.2789999999999999</v>
      </c>
      <c r="O283" s="57">
        <f t="shared" si="171"/>
        <v>9.4489999999999998</v>
      </c>
      <c r="P283" s="57">
        <f t="shared" si="171"/>
        <v>9.7799999999999994</v>
      </c>
      <c r="Q283" s="57">
        <f t="shared" si="171"/>
        <v>10.08</v>
      </c>
      <c r="R283" s="57">
        <f t="shared" si="171"/>
        <v>10.257</v>
      </c>
      <c r="S283" s="57">
        <f t="shared" si="171"/>
        <v>10.395</v>
      </c>
      <c r="T283" s="58">
        <f t="shared" ca="1" si="171"/>
        <v>10.966204383984865</v>
      </c>
      <c r="U283" s="58">
        <f t="shared" ca="1" si="171"/>
        <v>11.452342707077843</v>
      </c>
      <c r="V283" s="58">
        <f t="shared" ca="1" si="171"/>
        <v>11.966443158956762</v>
      </c>
      <c r="W283" s="58">
        <f t="shared" ca="1" si="171"/>
        <v>12.499653965520178</v>
      </c>
      <c r="X283" s="58">
        <f t="shared" ca="1" si="171"/>
        <v>13.05485545291033</v>
      </c>
      <c r="Y283" s="58">
        <f t="shared" ca="1" si="171"/>
        <v>13.62800742413167</v>
      </c>
      <c r="Z283" s="58">
        <f t="shared" ca="1" si="171"/>
        <v>14.217942721166393</v>
      </c>
      <c r="AA283" s="58">
        <f t="shared" ca="1" si="171"/>
        <v>14.82507639553195</v>
      </c>
      <c r="AB283" s="58">
        <f t="shared" ca="1" si="171"/>
        <v>15.447063983738637</v>
      </c>
      <c r="AC283" s="58">
        <f t="shared" ca="1" si="171"/>
        <v>16.087147106430415</v>
      </c>
      <c r="AD283" s="26"/>
      <c r="AE283" s="26"/>
    </row>
    <row r="284" spans="1:31" x14ac:dyDescent="0.2">
      <c r="AD284" s="26"/>
      <c r="AE284" s="26"/>
    </row>
    <row r="285" spans="1:31" x14ac:dyDescent="0.2">
      <c r="A285" s="31" t="s">
        <v>533</v>
      </c>
      <c r="AD285" s="26"/>
      <c r="AE285" s="26"/>
    </row>
    <row r="286" spans="1:31" x14ac:dyDescent="0.2">
      <c r="A286" s="3" t="s">
        <v>434</v>
      </c>
      <c r="F286" s="21">
        <f>F$185</f>
        <v>0</v>
      </c>
      <c r="G286" s="21">
        <f t="shared" ref="G286:AC286" si="172">G$185</f>
        <v>1.1020000000000001</v>
      </c>
      <c r="H286" s="21">
        <f t="shared" si="172"/>
        <v>1.2809999999999999</v>
      </c>
      <c r="I286" s="21">
        <f t="shared" si="172"/>
        <v>1.024</v>
      </c>
      <c r="J286" s="21">
        <f t="shared" si="172"/>
        <v>1.042</v>
      </c>
      <c r="K286" s="21">
        <f t="shared" si="172"/>
        <v>0.68799999999999994</v>
      </c>
      <c r="L286" s="21">
        <f t="shared" si="172"/>
        <v>0.72299999999999998</v>
      </c>
      <c r="M286" s="21">
        <f t="shared" si="172"/>
        <v>0.80400000000000005</v>
      </c>
      <c r="N286" s="21">
        <f t="shared" si="172"/>
        <v>0.85599999999999998</v>
      </c>
      <c r="O286" s="24">
        <f t="shared" si="172"/>
        <v>0.70899999999999996</v>
      </c>
      <c r="P286" s="24">
        <f t="shared" si="172"/>
        <v>0.749</v>
      </c>
      <c r="Q286" s="24">
        <f t="shared" si="172"/>
        <v>0.78300000000000003</v>
      </c>
      <c r="R286" s="24">
        <f t="shared" si="172"/>
        <v>0.81799999999999995</v>
      </c>
      <c r="S286" s="24">
        <f t="shared" si="172"/>
        <v>0.85499999999999998</v>
      </c>
      <c r="T286" s="26">
        <f t="shared" si="172"/>
        <v>0.88800000000000001</v>
      </c>
      <c r="U286" s="26">
        <f t="shared" si="172"/>
        <v>0.92300000000000004</v>
      </c>
      <c r="V286" s="26">
        <f t="shared" ca="1" si="172"/>
        <v>0.96443385586871944</v>
      </c>
      <c r="W286" s="26">
        <f t="shared" ca="1" si="172"/>
        <v>1.007407908169291</v>
      </c>
      <c r="X286" s="26">
        <f t="shared" ca="1" si="172"/>
        <v>1.0521542963946802</v>
      </c>
      <c r="Y286" s="26">
        <f t="shared" ca="1" si="172"/>
        <v>1.0983474014185413</v>
      </c>
      <c r="Z286" s="26">
        <f t="shared" ca="1" si="172"/>
        <v>1.1458931562994643</v>
      </c>
      <c r="AA286" s="26">
        <f t="shared" ca="1" si="172"/>
        <v>1.1948250120579438</v>
      </c>
      <c r="AB286" s="26">
        <f t="shared" ca="1" si="172"/>
        <v>1.2449540169784801</v>
      </c>
      <c r="AC286" s="26">
        <f t="shared" ca="1" si="172"/>
        <v>1.2965414290351753</v>
      </c>
      <c r="AD286" s="26"/>
      <c r="AE286" s="26"/>
    </row>
    <row r="287" spans="1:31" x14ac:dyDescent="0.2">
      <c r="A287" s="3" t="s">
        <v>840</v>
      </c>
      <c r="B287" s="4" t="str">
        <f>$B$46</f>
        <v>From Fiscal Forecasts</v>
      </c>
      <c r="F287" s="21">
        <f>'Fiscal Forecasts'!F$60-F$286</f>
        <v>1.595</v>
      </c>
      <c r="G287" s="21">
        <f>'Fiscal Forecasts'!G$60-G$286</f>
        <v>1.7869999999999997</v>
      </c>
      <c r="H287" s="21">
        <f>'Fiscal Forecasts'!H$60-H$286</f>
        <v>1.679</v>
      </c>
      <c r="I287" s="21">
        <f>'Fiscal Forecasts'!I$60-I$286</f>
        <v>1.8149999999999999</v>
      </c>
      <c r="J287" s="21">
        <f>'Fiscal Forecasts'!J$60-J$286</f>
        <v>1.5669999999999999</v>
      </c>
      <c r="K287" s="21">
        <f>'Fiscal Forecasts'!K$60-K$286</f>
        <v>1.385</v>
      </c>
      <c r="L287" s="21">
        <f>'Fiscal Forecasts'!L$60-L$286</f>
        <v>1.2549999999999999</v>
      </c>
      <c r="M287" s="21">
        <f>'Fiscal Forecasts'!M$60-M$286</f>
        <v>1.2539999999999998</v>
      </c>
      <c r="N287" s="21">
        <f>'Fiscal Forecasts'!N$60-N$286 +IF($D$2="Yes",'Fiscal Forecast Adjuster'!E$27,0)/1000</f>
        <v>1.3720000000000003</v>
      </c>
      <c r="O287" s="24">
        <f>'Fiscal Forecasts'!O$60-O$286 +IF($D$2="Yes",'Fiscal Forecast Adjuster'!F$27,0)/1000</f>
        <v>1.4870000000000001</v>
      </c>
      <c r="P287" s="24">
        <f>'Fiscal Forecasts'!P$60-P$286 +IF($D$2="Yes",'Fiscal Forecast Adjuster'!G$27,0)/1000</f>
        <v>1.4990000000000001</v>
      </c>
      <c r="Q287" s="24">
        <f>'Fiscal Forecasts'!Q$60-Q$286 +IF($D$2="Yes",'Fiscal Forecast Adjuster'!H$27,0)/1000</f>
        <v>1.4630000000000001</v>
      </c>
      <c r="R287" s="24">
        <f>'Fiscal Forecasts'!R$60-R$286 +IF($D$2="Yes",'Fiscal Forecast Adjuster'!I$27,0)/1000</f>
        <v>1.3679999999999999</v>
      </c>
      <c r="S287" s="24">
        <f>'Fiscal Forecasts'!S$60-S$286 +IF($D$2="Yes",'Fiscal Forecast Adjuster'!J$27,0)/1000</f>
        <v>1.4100000000000001</v>
      </c>
      <c r="T287" s="26">
        <f t="shared" ref="T287:AC287" si="173">S$287</f>
        <v>1.4100000000000001</v>
      </c>
      <c r="U287" s="26">
        <f t="shared" si="173"/>
        <v>1.4100000000000001</v>
      </c>
      <c r="V287" s="26">
        <f t="shared" si="173"/>
        <v>1.4100000000000001</v>
      </c>
      <c r="W287" s="26">
        <f t="shared" si="173"/>
        <v>1.4100000000000001</v>
      </c>
      <c r="X287" s="26">
        <f t="shared" si="173"/>
        <v>1.4100000000000001</v>
      </c>
      <c r="Y287" s="26">
        <f t="shared" si="173"/>
        <v>1.4100000000000001</v>
      </c>
      <c r="Z287" s="26">
        <f t="shared" si="173"/>
        <v>1.4100000000000001</v>
      </c>
      <c r="AA287" s="26">
        <f t="shared" si="173"/>
        <v>1.4100000000000001</v>
      </c>
      <c r="AB287" s="26">
        <f t="shared" si="173"/>
        <v>1.4100000000000001</v>
      </c>
      <c r="AC287" s="26">
        <f t="shared" si="173"/>
        <v>1.4100000000000001</v>
      </c>
      <c r="AD287" s="26"/>
      <c r="AE287" s="26"/>
    </row>
    <row r="288" spans="1:31" x14ac:dyDescent="0.2">
      <c r="A288" s="31" t="s">
        <v>535</v>
      </c>
      <c r="F288" s="56">
        <f>SUM(F$286:F$287)</f>
        <v>1.595</v>
      </c>
      <c r="G288" s="56">
        <f t="shared" ref="G288:AC288" si="174">SUM(G$286:G$287)</f>
        <v>2.8889999999999998</v>
      </c>
      <c r="H288" s="56">
        <f t="shared" si="174"/>
        <v>2.96</v>
      </c>
      <c r="I288" s="56">
        <f t="shared" si="174"/>
        <v>2.839</v>
      </c>
      <c r="J288" s="56">
        <f t="shared" si="174"/>
        <v>2.609</v>
      </c>
      <c r="K288" s="56">
        <f t="shared" si="174"/>
        <v>2.073</v>
      </c>
      <c r="L288" s="56">
        <f t="shared" si="174"/>
        <v>1.9779999999999998</v>
      </c>
      <c r="M288" s="56">
        <f t="shared" si="174"/>
        <v>2.0579999999999998</v>
      </c>
      <c r="N288" s="56">
        <f t="shared" si="174"/>
        <v>2.2280000000000002</v>
      </c>
      <c r="O288" s="57">
        <f t="shared" si="174"/>
        <v>2.1960000000000002</v>
      </c>
      <c r="P288" s="57">
        <f t="shared" si="174"/>
        <v>2.2480000000000002</v>
      </c>
      <c r="Q288" s="57">
        <f t="shared" si="174"/>
        <v>2.246</v>
      </c>
      <c r="R288" s="57">
        <f t="shared" si="174"/>
        <v>2.1859999999999999</v>
      </c>
      <c r="S288" s="57">
        <f t="shared" si="174"/>
        <v>2.2650000000000001</v>
      </c>
      <c r="T288" s="58">
        <f t="shared" si="174"/>
        <v>2.298</v>
      </c>
      <c r="U288" s="58">
        <f t="shared" si="174"/>
        <v>2.3330000000000002</v>
      </c>
      <c r="V288" s="58">
        <f t="shared" ca="1" si="174"/>
        <v>2.3744338558687197</v>
      </c>
      <c r="W288" s="58">
        <f t="shared" ca="1" si="174"/>
        <v>2.4174079081692912</v>
      </c>
      <c r="X288" s="58">
        <f t="shared" ca="1" si="174"/>
        <v>2.4621542963946803</v>
      </c>
      <c r="Y288" s="58">
        <f t="shared" ca="1" si="174"/>
        <v>2.5083474014185416</v>
      </c>
      <c r="Z288" s="58">
        <f t="shared" ca="1" si="174"/>
        <v>2.5558931562994642</v>
      </c>
      <c r="AA288" s="58">
        <f t="shared" ca="1" si="174"/>
        <v>2.6048250120579439</v>
      </c>
      <c r="AB288" s="58">
        <f t="shared" ca="1" si="174"/>
        <v>2.65495401697848</v>
      </c>
      <c r="AC288" s="58">
        <f t="shared" ca="1" si="174"/>
        <v>2.7065414290351755</v>
      </c>
      <c r="AD288" s="26"/>
      <c r="AE288" s="26"/>
    </row>
    <row r="289" spans="1:31" x14ac:dyDescent="0.2">
      <c r="A289" s="31" t="s">
        <v>536</v>
      </c>
      <c r="B289" s="4" t="str">
        <f>$B$46</f>
        <v>From Fiscal Forecasts</v>
      </c>
      <c r="F289" s="23">
        <f>'Fiscal Forecasts'!F$43</f>
        <v>4.7229999999999999</v>
      </c>
      <c r="G289" s="23">
        <f>'Fiscal Forecasts'!G$43</f>
        <v>9.0380000000000003</v>
      </c>
      <c r="H289" s="23">
        <f>'Fiscal Forecasts'!H$43</f>
        <v>7.6950000000000003</v>
      </c>
      <c r="I289" s="23">
        <f>'Fiscal Forecasts'!I$43</f>
        <v>7.5410000000000004</v>
      </c>
      <c r="J289" s="23">
        <f>'Fiscal Forecasts'!J$43</f>
        <v>18.818000000000001</v>
      </c>
      <c r="K289" s="23">
        <f>'Fiscal Forecasts'!K$43</f>
        <v>10.018000000000001</v>
      </c>
      <c r="L289" s="23">
        <f>'Fiscal Forecasts'!L$43</f>
        <v>8.375</v>
      </c>
      <c r="M289" s="23">
        <f>'Fiscal Forecasts'!M$43</f>
        <v>7.7320000000000002</v>
      </c>
      <c r="N289" s="23">
        <f>'Fiscal Forecasts'!N$43 +IF($D$2="Yes",'Fiscal Forecast Adjuster'!E$27,0)/1000</f>
        <v>8.2349999999999994</v>
      </c>
      <c r="O289" s="25">
        <f>'Fiscal Forecasts'!O$43 +IF($D$2="Yes",'Fiscal Forecast Adjuster'!F$27,0)/1000</f>
        <v>7.5049999999999999</v>
      </c>
      <c r="P289" s="25">
        <f>'Fiscal Forecasts'!P$43 +IF($D$2="Yes",'Fiscal Forecast Adjuster'!G$27,0)/1000</f>
        <v>7.6459999999999999</v>
      </c>
      <c r="Q289" s="25">
        <f>'Fiscal Forecasts'!Q$43 +IF($D$2="Yes",'Fiscal Forecast Adjuster'!H$27,0)/1000</f>
        <v>8.0670000000000002</v>
      </c>
      <c r="R289" s="25">
        <f>'Fiscal Forecasts'!R$43 +IF($D$2="Yes",'Fiscal Forecast Adjuster'!I$27,0)/1000</f>
        <v>8.01</v>
      </c>
      <c r="S289" s="25">
        <f>'Fiscal Forecasts'!S$43 +IF($D$2="Yes",'Fiscal Forecast Adjuster'!J$27,0)/1000</f>
        <v>8.0939999999999994</v>
      </c>
      <c r="T289" s="11">
        <f ca="1">T$288+IF(T$4=OFFSET(Choices!$B$10,0,$C$1),AVERAGE((Q$289-Q$288)/Q$11,(R$289-R$288)/R$11,(S$289-S$288)/S$11),(S$289-S$288)/S$11)*T$11</f>
        <v>8.6499658981704002</v>
      </c>
      <c r="U289" s="11">
        <f ca="1">U$288+IF(U$4=OFFSET(Choices!$B$10,0,$C$1),AVERAGE((R$289-R$288)/R$11,(S$289-S$288)/S$11,(T$289-T$288)/T$11),(T$289-T$288)/T$11)*U$11</f>
        <v>8.9665523014468143</v>
      </c>
      <c r="V289" s="11">
        <f ca="1">V$288+IF(V$4=OFFSET(Choices!$B$10,0,$C$1),AVERAGE((S$289-S$288)/S$11,(T$289-T$288)/T$11,(U$289-U$288)/U$11),(U$289-U$288)/U$11)*V$11</f>
        <v>9.3057690933456101</v>
      </c>
      <c r="W289" s="11">
        <f ca="1">W$288+IF(W$4=OFFSET(Choices!$B$10,0,$C$1),AVERAGE((T$289-T$288)/T$11,(U$289-U$288)/U$11,(V$289-V$288)/V$11),(V$289-V$288)/V$11)*W$11</f>
        <v>9.6575953921694246</v>
      </c>
      <c r="X289" s="11">
        <f ca="1">X$288+IF(X$4=OFFSET(Choices!$B$10,0,$C$1),AVERAGE((U$289-U$288)/U$11,(V$289-V$288)/V$11,(W$289-W$288)/W$11),(W$289-W$288)/W$11)*X$11</f>
        <v>10.023931711699216</v>
      </c>
      <c r="Y289" s="11">
        <f ca="1">Y$288+IF(Y$4=OFFSET(Choices!$B$10,0,$C$1),AVERAGE((V$289-V$288)/V$11,(W$289-W$288)/W$11,(X$289-X$288)/X$11),(X$289-X$288)/X$11)*Y$11</f>
        <v>10.402112225327638</v>
      </c>
      <c r="Z289" s="11">
        <f ca="1">Z$288+IF(Z$4=OFFSET(Choices!$B$10,0,$C$1),AVERAGE((W$289-W$288)/W$11,(X$289-X$288)/X$11,(Y$289-Y$288)/Y$11),(Y$289-Y$288)/Y$11)*Z$11</f>
        <v>10.791366811968444</v>
      </c>
      <c r="AA289" s="11">
        <f ca="1">AA$288+IF(AA$4=OFFSET(Choices!$B$10,0,$C$1),AVERAGE((X$289-X$288)/X$11,(Y$289-Y$288)/Y$11,(Z$289-Z$288)/Z$11),(Z$289-Z$288)/Z$11)*AA$11</f>
        <v>11.191969333361511</v>
      </c>
      <c r="AB289" s="11">
        <f ca="1">AB$288+IF(AB$4=OFFSET(Choices!$B$10,0,$C$1),AVERAGE((Y$289-Y$288)/Y$11,(Z$289-Z$288)/Z$11,(AA$289-AA$288)/AA$11),(AA$289-AA$288)/AA$11)*AB$11</f>
        <v>11.602372851781357</v>
      </c>
      <c r="AC289" s="11">
        <f ca="1">AC$288+IF(AC$4=OFFSET(Choices!$B$10,0,$C$1),AVERAGE((Z$289-Z$288)/Z$11,(AA$289-AA$288)/AA$11,(AB$289-AB$288)/AB$11),(AB$289-AB$288)/AB$11)*AC$11</f>
        <v>12.024716272477679</v>
      </c>
      <c r="AD289" s="26"/>
      <c r="AE289" s="26"/>
    </row>
    <row r="290" spans="1:31" x14ac:dyDescent="0.2">
      <c r="A290" s="31"/>
      <c r="B290" s="4"/>
      <c r="AD290" s="26"/>
      <c r="AE290" s="26"/>
    </row>
    <row r="291" spans="1:31" x14ac:dyDescent="0.2">
      <c r="A291" s="31" t="s">
        <v>739</v>
      </c>
      <c r="B291" s="4" t="str">
        <f>$B$46</f>
        <v>From Fiscal Forecasts</v>
      </c>
      <c r="F291" s="23">
        <f>'Fiscal Forecasts'!F$177</f>
        <v>3.7570000000000001</v>
      </c>
      <c r="G291" s="23">
        <f>'Fiscal Forecasts'!G$177</f>
        <v>4.1440000000000001</v>
      </c>
      <c r="H291" s="23">
        <f>'Fiscal Forecasts'!H$177</f>
        <v>4.4210000000000003</v>
      </c>
      <c r="I291" s="23">
        <f>'Fiscal Forecasts'!I$177</f>
        <v>5.3860000000000001</v>
      </c>
      <c r="J291" s="23">
        <f>'Fiscal Forecasts'!J$177</f>
        <v>16.375</v>
      </c>
      <c r="K291" s="23">
        <f>'Fiscal Forecasts'!K$177</f>
        <v>5.585</v>
      </c>
      <c r="L291" s="23">
        <f>'Fiscal Forecasts'!L$177</f>
        <v>4.3940000000000001</v>
      </c>
      <c r="M291" s="23">
        <f>'Fiscal Forecasts'!M$177</f>
        <v>4.625</v>
      </c>
      <c r="N291" s="23">
        <f>'Fiscal Forecasts'!N$177</f>
        <v>4.8250000000000002</v>
      </c>
      <c r="O291" s="25">
        <f>'Fiscal Forecasts'!O$177</f>
        <v>5.2729999999999997</v>
      </c>
      <c r="P291" s="25">
        <f>'Fiscal Forecasts'!P$177</f>
        <v>5.32</v>
      </c>
      <c r="Q291" s="25">
        <f>'Fiscal Forecasts'!Q$177</f>
        <v>5.4820000000000002</v>
      </c>
      <c r="R291" s="25">
        <f>'Fiscal Forecasts'!R$177</f>
        <v>5.5839999999999996</v>
      </c>
      <c r="S291" s="25">
        <f>'Fiscal Forecasts'!S$177</f>
        <v>5.67</v>
      </c>
      <c r="T291" s="11">
        <f ca="1">IF(T$4=OFFSET(Choices!$B$10,0,$C$1),AVERAGE(Q$291/(SUM(Q$246,Q$270,Q$273,Q$276,Q$296,Q$299,Q$302,Q$308,Q$311)-SUM(Q$245,Q$269,Q$272,Q$275,Q$295,Q$298,Q$301,Q$307,Q$310)),R$291/(SUM(R$246,R$270,R$273,R$276,R$296,R$299,R$302,R$308,R$311)-SUM(R$245,R$269,R$272,R$275,R$295,R$298,R$301,R$307,R$310)),S$291/(SUM(S$246,S$270,S$273,S$276,S$296,S$299,S$302,S$308,S$311)-SUM(S$245,S$269,S$272,S$275,S$295,S$298,S$301,S$307,S$310))),S$291/(SUM(S$246,S$270,S$273,S$276,S$296,S$299,S$302,S$308,S$311)-SUM(S$245,S$269,S$272,S$275,S$295,S$298,S$301,S$307,S$310)))*(SUM(T$246,T$270,T$273,T$276,T$296,T$299,T$302,T$308,T$311)-SUM(T$245,T$269,T$272,T$275,T$295,T$298,T$301,T$307,T$310))</f>
        <v>6.0742658274489099</v>
      </c>
      <c r="U291" s="11">
        <f ca="1">IF(U$4=OFFSET(Choices!$B$10,0,$C$1),AVERAGE(R$291/(SUM(R$246,R$270,R$273,R$276,R$296,R$299,R$302,R$308,R$311)-SUM(R$245,R$269,R$272,R$275,R$295,R$298,R$301,R$307,R$310)),S$291/(SUM(S$246,S$270,S$273,S$276,S$296,S$299,S$302,S$308,S$311)-SUM(S$245,S$269,S$272,S$275,S$295,S$298,S$301,S$307,S$310)),T$291/(SUM(T$246,T$270,T$273,T$276,T$296,T$299,T$302,T$308,T$311)-SUM(T$245,T$269,T$272,T$275,T$295,T$298,T$301,T$307,T$310))),T$291/(SUM(T$246,T$270,T$273,T$276,T$296,T$299,T$302,T$308,T$311)-SUM(T$245,T$269,T$272,T$275,T$295,T$298,T$301,T$307,T$310)))*(SUM(U$246,U$270,U$273,U$276,U$296,U$299,U$302,U$308,U$311)-SUM(U$245,U$269,U$272,U$275,U$295,U$298,U$301,U$307,U$310))</f>
        <v>6.3359833860693531</v>
      </c>
      <c r="V291" s="11">
        <f ca="1">IF(V$4=OFFSET(Choices!$B$10,0,$C$1),AVERAGE(S$291/(SUM(S$246,S$270,S$273,S$276,S$296,S$299,S$302,S$308,S$311)-SUM(S$245,S$269,S$272,S$275,S$295,S$298,S$301,S$307,S$310)),T$291/(SUM(T$246,T$270,T$273,T$276,T$296,T$299,T$302,T$308,T$311)-SUM(T$245,T$269,T$272,T$275,T$295,T$298,T$301,T$307,T$310)),U$291/(SUM(U$246,U$270,U$273,U$276,U$296,U$299,U$302,U$308,U$311)-SUM(U$245,U$269,U$272,U$275,U$295,U$298,U$301,U$307,U$310))),U$291/(SUM(U$246,U$270,U$273,U$276,U$296,U$299,U$302,U$308,U$311)-SUM(U$245,U$269,U$272,U$275,U$295,U$298,U$301,U$307,U$310)))*(SUM(V$246,V$270,V$273,V$276,V$296,V$299,V$302,V$308,V$311)-SUM(V$245,V$269,V$272,V$275,V$295,V$298,V$301,V$307,V$310))</f>
        <v>6.6127775890319747</v>
      </c>
      <c r="W291" s="11">
        <f ca="1">IF(W$4=OFFSET(Choices!$B$10,0,$C$1),AVERAGE(T$291/(SUM(T$246,T$270,T$273,T$276,T$296,T$299,T$302,T$308,T$311)-SUM(T$245,T$269,T$272,T$275,T$295,T$298,T$301,T$307,T$310)),U$291/(SUM(U$246,U$270,U$273,U$276,U$296,U$299,U$302,U$308,U$311)-SUM(U$245,U$269,U$272,U$275,U$295,U$298,U$301,U$307,U$310)),V$291/(SUM(V$246,V$270,V$273,V$276,V$296,V$299,V$302,V$308,V$311)-SUM(V$245,V$269,V$272,V$275,V$295,V$298,V$301,V$307,V$310))),V$291/(SUM(V$246,V$270,V$273,V$276,V$296,V$299,V$302,V$308,V$311)-SUM(V$245,V$269,V$272,V$275,V$295,V$298,V$301,V$307,V$310)))*(SUM(W$246,W$270,W$273,W$276,W$296,W$299,W$302,W$308,W$311)-SUM(W$245,W$269,W$272,W$275,W$295,W$298,W$301,W$307,W$310))</f>
        <v>6.9001429429405476</v>
      </c>
      <c r="X291" s="11">
        <f ca="1">IF(X$4=OFFSET(Choices!$B$10,0,$C$1),AVERAGE(U$291/(SUM(U$246,U$270,U$273,U$276,U$296,U$299,U$302,U$308,U$311)-SUM(U$245,U$269,U$272,U$275,U$295,U$298,U$301,U$307,U$310)),V$291/(SUM(V$246,V$270,V$273,V$276,V$296,V$299,V$302,V$308,V$311)-SUM(V$245,V$269,V$272,V$275,V$295,V$298,V$301,V$307,V$310)),W$291/(SUM(W$246,W$270,W$273,W$276,W$296,W$299,W$302,W$308,W$311)-SUM(W$245,W$269,W$272,W$275,W$295,W$298,W$301,W$307,W$310))),W$291/(SUM(W$246,W$270,W$273,W$276,W$296,W$299,W$302,W$308,W$311)-SUM(W$245,W$269,W$272,W$275,W$295,W$298,W$301,W$307,W$310)))*(SUM(X$246,X$270,X$273,X$276,X$296,X$299,X$302,X$308,X$311)-SUM(X$245,X$269,X$272,X$275,X$295,X$298,X$301,X$307,X$310))</f>
        <v>7.1995848419624489</v>
      </c>
      <c r="Y291" s="11">
        <f ca="1">IF(Y$4=OFFSET(Choices!$B$10,0,$C$1),AVERAGE(V$291/(SUM(V$246,V$270,V$273,V$276,V$296,V$299,V$302,V$308,V$311)-SUM(V$245,V$269,V$272,V$275,V$295,V$298,V$301,V$307,V$310)),W$291/(SUM(W$246,W$270,W$273,W$276,W$296,W$299,W$302,W$308,W$311)-SUM(W$245,W$269,W$272,W$275,W$295,W$298,W$301,W$307,W$310)),X$291/(SUM(X$246,X$270,X$273,X$276,X$296,X$299,X$302,X$308,X$311)-SUM(X$245,X$269,X$272,X$275,X$295,X$298,X$301,X$307,X$310))),X$291/(SUM(X$246,X$270,X$273,X$276,X$296,X$299,X$302,X$308,X$311)-SUM(X$245,X$269,X$272,X$275,X$295,X$298,X$301,X$307,X$310)))*(SUM(Y$246,Y$270,Y$273,Y$276,Y$296,Y$299,Y$302,Y$308,Y$311)-SUM(Y$245,Y$269,Y$272,Y$275,Y$295,Y$298,Y$301,Y$307,Y$310))</f>
        <v>7.5086763508600614</v>
      </c>
      <c r="Z291" s="11">
        <f ca="1">IF(Z$4=OFFSET(Choices!$B$10,0,$C$1),AVERAGE(W$291/(SUM(W$246,W$270,W$273,W$276,W$296,W$299,W$302,W$308,W$311)-SUM(W$245,W$269,W$272,W$275,W$295,W$298,W$301,W$307,W$310)),X$291/(SUM(X$246,X$270,X$273,X$276,X$296,X$299,X$302,X$308,X$311)-SUM(X$245,X$269,X$272,X$275,X$295,X$298,X$301,X$307,X$310)),Y$291/(SUM(Y$246,Y$270,Y$273,Y$276,Y$296,Y$299,Y$302,Y$308,Y$311)-SUM(Y$245,Y$269,Y$272,Y$275,Y$295,Y$298,Y$301,Y$307,Y$310))),Y$291/(SUM(Y$246,Y$270,Y$273,Y$276,Y$296,Y$299,Y$302,Y$308,Y$311)-SUM(Y$245,Y$269,Y$272,Y$275,Y$295,Y$298,Y$301,Y$307,Y$310)))*(SUM(Z$246,Z$270,Z$273,Z$276,Z$296,Z$299,Z$302,Z$308,Z$311)-SUM(Z$245,Z$269,Z$272,Z$275,Z$295,Z$298,Z$301,Z$307,Z$310))</f>
        <v>7.8268053986741863</v>
      </c>
      <c r="AA291" s="11">
        <f ca="1">IF(AA$4=OFFSET(Choices!$B$10,0,$C$1),AVERAGE(X$291/(SUM(X$246,X$270,X$273,X$276,X$296,X$299,X$302,X$308,X$311)-SUM(X$245,X$269,X$272,X$275,X$295,X$298,X$301,X$307,X$310)),Y$291/(SUM(Y$246,Y$270,Y$273,Y$276,Y$296,Y$299,Y$302,Y$308,Y$311)-SUM(Y$245,Y$269,Y$272,Y$275,Y$295,Y$298,Y$301,Y$307,Y$310)),Z$291/(SUM(Z$246,Z$270,Z$273,Z$276,Z$296,Z$299,Z$302,Z$308,Z$311)-SUM(Z$245,Z$269,Z$272,Z$275,Z$295,Z$298,Z$301,Z$307,Z$310))),Z$291/(SUM(Z$246,Z$270,Z$273,Z$276,Z$296,Z$299,Z$302,Z$308,Z$311)-SUM(Z$245,Z$269,Z$272,Z$275,Z$295,Z$298,Z$301,Z$307,Z$310)))*(SUM(AA$246,AA$270,AA$273,AA$276,AA$296,AA$299,AA$302,AA$308,AA$311)-SUM(AA$245,AA$269,AA$272,AA$275,AA$295,AA$298,AA$301,AA$307,AA$310))</f>
        <v>8.1539174652330182</v>
      </c>
      <c r="AB291" s="11">
        <f ca="1">IF(AB$4=OFFSET(Choices!$B$10,0,$C$1),AVERAGE(Y$291/(SUM(Y$246,Y$270,Y$273,Y$276,Y$296,Y$299,Y$302,Y$308,Y$311)-SUM(Y$245,Y$269,Y$272,Y$275,Y$295,Y$298,Y$301,Y$307,Y$310)),Z$291/(SUM(Z$246,Z$270,Z$273,Z$276,Z$296,Z$299,Z$302,Z$308,Z$311)-SUM(Z$245,Z$269,Z$272,Z$275,Z$295,Z$298,Z$301,Z$307,Z$310)),AA$291/(SUM(AA$246,AA$270,AA$273,AA$276,AA$296,AA$299,AA$302,AA$308,AA$311)-SUM(AA$245,AA$269,AA$272,AA$275,AA$295,AA$298,AA$301,AA$307,AA$310))),AA$291/(SUM(AA$246,AA$270,AA$273,AA$276,AA$296,AA$299,AA$302,AA$308,AA$311)-SUM(AA$245,AA$269,AA$272,AA$275,AA$295,AA$298,AA$301,AA$307,AA$310)))*(SUM(AB$246,AB$270,AB$273,AB$276,AB$296,AB$299,AB$302,AB$308,AB$311)-SUM(AB$245,AB$269,AB$272,AB$275,AB$295,AB$298,AB$301,AB$307,AB$310))</f>
        <v>8.4884481952958737</v>
      </c>
      <c r="AC291" s="11">
        <f ca="1">IF(AC$4=OFFSET(Choices!$B$10,0,$C$1),AVERAGE(Z$291/(SUM(Z$246,Z$270,Z$273,Z$276,Z$296,Z$299,Z$302,Z$308,Z$311)-SUM(Z$245,Z$269,Z$272,Z$275,Z$295,Z$298,Z$301,Z$307,Z$310)),AA$291/(SUM(AA$246,AA$270,AA$273,AA$276,AA$296,AA$299,AA$302,AA$308,AA$311)-SUM(AA$245,AA$269,AA$272,AA$275,AA$295,AA$298,AA$301,AA$307,AA$310)),AB$291/(SUM(AB$246,AB$270,AB$273,AB$276,AB$296,AB$299,AB$302,AB$308,AB$311)-SUM(AB$245,AB$269,AB$272,AB$275,AB$295,AB$298,AB$301,AB$307,AB$310))),AB$291/(SUM(AB$246,AB$270,AB$273,AB$276,AB$296,AB$299,AB$302,AB$308,AB$311)-SUM(AB$245,AB$269,AB$272,AB$275,AB$295,AB$298,AB$301,AB$307,AB$310)))*(SUM(AC$246,AC$270,AC$273,AC$276,AC$296,AC$299,AC$302,AC$308,AC$311)-SUM(AC$245,AC$269,AC$272,AC$275,AC$295,AC$298,AC$301,AC$307,AC$310))</f>
        <v>8.8328519244435846</v>
      </c>
      <c r="AD291" s="26"/>
      <c r="AE291" s="26"/>
    </row>
    <row r="292" spans="1:31" x14ac:dyDescent="0.2">
      <c r="A292" s="31" t="s">
        <v>841</v>
      </c>
      <c r="B292" s="4" t="str">
        <f>$B$46</f>
        <v>From Fiscal Forecasts</v>
      </c>
      <c r="F292" s="23">
        <f>'Fiscal Forecasts'!F$178</f>
        <v>4.9569999999999999</v>
      </c>
      <c r="G292" s="23">
        <f>'Fiscal Forecasts'!G$178</f>
        <v>7.2619999999999996</v>
      </c>
      <c r="H292" s="23">
        <f>'Fiscal Forecasts'!H$178</f>
        <v>5.859</v>
      </c>
      <c r="I292" s="23">
        <f>'Fiscal Forecasts'!I$178</f>
        <v>5.9669999999999996</v>
      </c>
      <c r="J292" s="23">
        <f>'Fiscal Forecasts'!J$178</f>
        <v>6.1959999999999997</v>
      </c>
      <c r="K292" s="23">
        <f>'Fiscal Forecasts'!K$178</f>
        <v>8.2260000000000009</v>
      </c>
      <c r="L292" s="23">
        <f>'Fiscal Forecasts'!L$178</f>
        <v>7.5940000000000003</v>
      </c>
      <c r="M292" s="23">
        <f>'Fiscal Forecasts'!M$178</f>
        <v>6.8339999999999996</v>
      </c>
      <c r="N292" s="23">
        <f>'Fiscal Forecasts'!N$178</f>
        <v>7.01</v>
      </c>
      <c r="O292" s="25">
        <f>'Fiscal Forecasts'!O$178</f>
        <v>6.5369999999999999</v>
      </c>
      <c r="P292" s="25">
        <f>'Fiscal Forecasts'!P$178</f>
        <v>6.8</v>
      </c>
      <c r="Q292" s="25">
        <f>'Fiscal Forecasts'!Q$178</f>
        <v>7.0880000000000001</v>
      </c>
      <c r="R292" s="25">
        <f>'Fiscal Forecasts'!R$178</f>
        <v>7.0439999999999996</v>
      </c>
      <c r="S292" s="25">
        <f>'Fiscal Forecasts'!S$178</f>
        <v>7.0579999999999998</v>
      </c>
      <c r="T292" s="11">
        <f ca="1">IF(T$4=OFFSET(Choices!$B$10,0,$C$1),AVERAGE(Q$292/(Q$289-Q$288),R$292/(R$289-R$288),S$292/(S$289-S$288)),S$292/(S$289-S$288))*(T$289-T$288)</f>
        <v>7.7027761472121092</v>
      </c>
      <c r="U292" s="11">
        <f ca="1">IF(U$4=OFFSET(Choices!$B$10,0,$C$1),AVERAGE(R$292/(R$289-R$288),S$292/(S$289-S$288),T$292/(T$289-T$288)),T$292/(T$289-T$288))*(U$289-U$288)</f>
        <v>8.0442447673697774</v>
      </c>
      <c r="V292" s="11">
        <f ca="1">IF(V$4=OFFSET(Choices!$B$10,0,$C$1),AVERAGE(S$292/(S$289-S$288),T$292/(T$289-T$288),U$292/(U$289-U$288)),U$292/(U$289-U$288))*(V$289-V$288)</f>
        <v>8.4053542779482182</v>
      </c>
      <c r="W292" s="11">
        <f ca="1">IF(W$4=OFFSET(Choices!$B$10,0,$C$1),AVERAGE(T$292/(T$289-T$288),U$292/(U$289-U$288),V$292/(V$289-V$288)),V$292/(V$289-V$288))*(W$289-W$288)</f>
        <v>8.7798871006476222</v>
      </c>
      <c r="X292" s="11">
        <f ca="1">IF(X$4=OFFSET(Choices!$B$10,0,$C$1),AVERAGE(U$292/(U$289-U$288),V$292/(V$289-V$288),W$292/(W$289-W$288)),W$292/(W$289-W$288))*(X$289-X$288)</f>
        <v>9.1698664065422957</v>
      </c>
      <c r="Y292" s="11">
        <f ca="1">IF(Y$4=OFFSET(Choices!$B$10,0,$C$1),AVERAGE(V$292/(V$289-V$288),W$292/(W$289-W$288),X$292/(X$289-X$288)),X$292/(X$289-X$288))*(Y$289-Y$288)</f>
        <v>9.5724543191931719</v>
      </c>
      <c r="Z292" s="11">
        <f ca="1">IF(Z$4=OFFSET(Choices!$B$10,0,$C$1),AVERAGE(W$292/(W$289-W$288),X$292/(X$289-X$288),Y$292/(Y$289-Y$288)),Y$292/(Y$289-Y$288))*(Z$289-Z$288)</f>
        <v>9.9868310146552624</v>
      </c>
      <c r="AA292" s="11">
        <f ca="1">IF(AA$4=OFFSET(Choices!$B$10,0,$C$1),AVERAGE(X$292/(X$289-X$288),Y$292/(Y$289-Y$288),Z$292/(Z$289-Z$288)),Z$292/(Z$289-Z$288))*(AA$289-AA$288)</f>
        <v>10.413288029436238</v>
      </c>
      <c r="AB292" s="11">
        <f ca="1">IF(AB$4=OFFSET(Choices!$B$10,0,$C$1),AVERAGE(Y$292/(Y$289-Y$288),Z$292/(Z$289-Z$288),AA$292/(AA$289-AA$288)),AA$292/(AA$289-AA$288))*(AB$289-AB$288)</f>
        <v>10.85017858796872</v>
      </c>
      <c r="AC292" s="11">
        <f ca="1">IF(AC$4=OFFSET(Choices!$B$10,0,$C$1),AVERAGE(Z$292/(Z$289-Z$288),AA$292/(AA$289-AA$288),AB$292/(AB$289-AB$288)),AB$292/(AB$289-AB$288))*(AC$289-AC$288)</f>
        <v>11.29977963834707</v>
      </c>
      <c r="AD292" s="26"/>
      <c r="AE292" s="26"/>
    </row>
    <row r="293" spans="1:31" x14ac:dyDescent="0.2">
      <c r="A293" s="31" t="s">
        <v>741</v>
      </c>
      <c r="B293" s="4" t="str">
        <f>$B$46</f>
        <v>From Fiscal Forecasts</v>
      </c>
      <c r="F293" s="23">
        <f>'Fiscal Forecasts'!F$179</f>
        <v>-3.08</v>
      </c>
      <c r="G293" s="23">
        <f>'Fiscal Forecasts'!G$179</f>
        <v>-2.3719999999999999</v>
      </c>
      <c r="H293" s="23">
        <f>'Fiscal Forecasts'!H$179</f>
        <v>-2.4590000000000001</v>
      </c>
      <c r="I293" s="23">
        <f>'Fiscal Forecasts'!I$179</f>
        <v>-3.72</v>
      </c>
      <c r="J293" s="23">
        <f>'Fiscal Forecasts'!J$179</f>
        <v>-3.1030000000000002</v>
      </c>
      <c r="K293" s="23">
        <f>'Fiscal Forecasts'!K$179</f>
        <v>-2.6139999999999999</v>
      </c>
      <c r="L293" s="23">
        <f>'Fiscal Forecasts'!L$179</f>
        <v>-2.573</v>
      </c>
      <c r="M293" s="23">
        <f>'Fiscal Forecasts'!M$179</f>
        <v>-2.6659999999999999</v>
      </c>
      <c r="N293" s="23">
        <f>'Fiscal Forecasts'!N$179</f>
        <v>-2.698</v>
      </c>
      <c r="O293" s="25">
        <f>'Fiscal Forecasts'!O$179</f>
        <v>-2.871</v>
      </c>
      <c r="P293" s="25">
        <f>'Fiscal Forecasts'!P$179</f>
        <v>-2.9420000000000002</v>
      </c>
      <c r="Q293" s="25">
        <f>'Fiscal Forecasts'!Q$179</f>
        <v>-2.8940000000000001</v>
      </c>
      <c r="R293" s="25">
        <f>'Fiscal Forecasts'!R$179</f>
        <v>-2.887</v>
      </c>
      <c r="S293" s="25">
        <f>'Fiscal Forecasts'!S$179</f>
        <v>-2.94</v>
      </c>
      <c r="T293" s="11">
        <f t="shared" ref="T293:AC293" ca="1" si="175">SUM(T$246,T$270,T$273,T$276,T$289,T$296,T$299,T$302,T$308,T$311)-SUM(T$245,T$269,T$272,T$275,T$288,T$295,T$298,T$301,T$307,T$310)-SUM(T$291,T$292)</f>
        <v>-3.1675839859757371</v>
      </c>
      <c r="U293" s="11">
        <f t="shared" ca="1" si="175"/>
        <v>-3.3057442368619281</v>
      </c>
      <c r="V293" s="11">
        <f t="shared" ca="1" si="175"/>
        <v>-3.4518581725109083</v>
      </c>
      <c r="W293" s="11">
        <f t="shared" ca="1" si="175"/>
        <v>-3.6034878728637967</v>
      </c>
      <c r="X293" s="11">
        <f t="shared" ca="1" si="175"/>
        <v>-3.761438388394307</v>
      </c>
      <c r="Y293" s="11">
        <f t="shared" ca="1" si="175"/>
        <v>-3.9244861694657551</v>
      </c>
      <c r="Z293" s="11">
        <f t="shared" ca="1" si="175"/>
        <v>-4.0923043798012593</v>
      </c>
      <c r="AA293" s="11">
        <f t="shared" ca="1" si="175"/>
        <v>-4.264927838557302</v>
      </c>
      <c r="AB293" s="11">
        <f t="shared" ca="1" si="175"/>
        <v>-4.4415998676122932</v>
      </c>
      <c r="AC293" s="11">
        <f t="shared" ca="1" si="175"/>
        <v>-4.6234538437296067</v>
      </c>
      <c r="AD293" s="26"/>
      <c r="AE293" s="26"/>
    </row>
    <row r="294" spans="1:31" x14ac:dyDescent="0.2">
      <c r="A294" s="31"/>
      <c r="B294" s="4"/>
      <c r="AD294" s="26"/>
      <c r="AE294" s="26"/>
    </row>
    <row r="295" spans="1:31" x14ac:dyDescent="0.2">
      <c r="A295" s="31" t="s">
        <v>540</v>
      </c>
      <c r="B295" s="4" t="str">
        <f>$B$46</f>
        <v>From Fiscal Forecasts</v>
      </c>
      <c r="F295" s="23">
        <f>'Fiscal Forecasts'!F$61</f>
        <v>0.438</v>
      </c>
      <c r="G295" s="23">
        <f>'Fiscal Forecasts'!G$61</f>
        <v>0.54100000000000004</v>
      </c>
      <c r="H295" s="23">
        <f>'Fiscal Forecasts'!H$61</f>
        <v>0.53400000000000003</v>
      </c>
      <c r="I295" s="23">
        <f>'Fiscal Forecasts'!I$61</f>
        <v>0.50700000000000001</v>
      </c>
      <c r="J295" s="23">
        <f>'Fiscal Forecasts'!J$61</f>
        <v>0.70599999999999996</v>
      </c>
      <c r="K295" s="23">
        <f>'Fiscal Forecasts'!K$61</f>
        <v>0.64800000000000002</v>
      </c>
      <c r="L295" s="23">
        <f>'Fiscal Forecasts'!L$61</f>
        <v>0.65900000000000003</v>
      </c>
      <c r="M295" s="23">
        <f>'Fiscal Forecasts'!M$61</f>
        <v>0.67600000000000005</v>
      </c>
      <c r="N295" s="23">
        <f>'Fiscal Forecasts'!N$61</f>
        <v>0.66700000000000004</v>
      </c>
      <c r="O295" s="25">
        <f>'Fiscal Forecasts'!O$61</f>
        <v>0.82199999999999995</v>
      </c>
      <c r="P295" s="25">
        <f>'Fiscal Forecasts'!P$61</f>
        <v>0.67200000000000004</v>
      </c>
      <c r="Q295" s="25">
        <f>'Fiscal Forecasts'!Q$61</f>
        <v>0.65500000000000003</v>
      </c>
      <c r="R295" s="25">
        <f>'Fiscal Forecasts'!R$61</f>
        <v>0.67200000000000004</v>
      </c>
      <c r="S295" s="25">
        <f>'Fiscal Forecasts'!S$61</f>
        <v>0.66100000000000003</v>
      </c>
      <c r="T295" s="11">
        <f t="shared" ref="T295:AC295" si="176">S$295</f>
        <v>0.66100000000000003</v>
      </c>
      <c r="U295" s="11">
        <f t="shared" si="176"/>
        <v>0.66100000000000003</v>
      </c>
      <c r="V295" s="11">
        <f t="shared" si="176"/>
        <v>0.66100000000000003</v>
      </c>
      <c r="W295" s="11">
        <f t="shared" si="176"/>
        <v>0.66100000000000003</v>
      </c>
      <c r="X295" s="11">
        <f t="shared" si="176"/>
        <v>0.66100000000000003</v>
      </c>
      <c r="Y295" s="11">
        <f t="shared" si="176"/>
        <v>0.66100000000000003</v>
      </c>
      <c r="Z295" s="11">
        <f t="shared" si="176"/>
        <v>0.66100000000000003</v>
      </c>
      <c r="AA295" s="11">
        <f t="shared" si="176"/>
        <v>0.66100000000000003</v>
      </c>
      <c r="AB295" s="11">
        <f t="shared" si="176"/>
        <v>0.66100000000000003</v>
      </c>
      <c r="AC295" s="11">
        <f t="shared" si="176"/>
        <v>0.66100000000000003</v>
      </c>
      <c r="AD295" s="26"/>
      <c r="AE295" s="26"/>
    </row>
    <row r="296" spans="1:31" x14ac:dyDescent="0.2">
      <c r="A296" s="31" t="s">
        <v>541</v>
      </c>
      <c r="B296" s="4" t="str">
        <f>$B$46</f>
        <v>From Fiscal Forecasts</v>
      </c>
      <c r="F296" s="23">
        <f>'Fiscal Forecasts'!F$44</f>
        <v>1.2330000000000001</v>
      </c>
      <c r="G296" s="23">
        <f>'Fiscal Forecasts'!G$44</f>
        <v>1.4590000000000001</v>
      </c>
      <c r="H296" s="23">
        <f>'Fiscal Forecasts'!H$44</f>
        <v>1.4870000000000001</v>
      </c>
      <c r="I296" s="23">
        <f>'Fiscal Forecasts'!I$44</f>
        <v>1.373</v>
      </c>
      <c r="J296" s="23">
        <f>'Fiscal Forecasts'!J$44</f>
        <v>1.603</v>
      </c>
      <c r="K296" s="23">
        <f>'Fiscal Forecasts'!K$44</f>
        <v>1.5880000000000001</v>
      </c>
      <c r="L296" s="23">
        <f>'Fiscal Forecasts'!L$44</f>
        <v>1.579</v>
      </c>
      <c r="M296" s="23">
        <f>'Fiscal Forecasts'!M$44</f>
        <v>1.7030000000000001</v>
      </c>
      <c r="N296" s="23">
        <f>'Fiscal Forecasts'!N$44</f>
        <v>1.74</v>
      </c>
      <c r="O296" s="25">
        <f>'Fiscal Forecasts'!O$44</f>
        <v>1.9930000000000001</v>
      </c>
      <c r="P296" s="25">
        <f>'Fiscal Forecasts'!P$44</f>
        <v>1.877</v>
      </c>
      <c r="Q296" s="25">
        <f>'Fiscal Forecasts'!Q$44</f>
        <v>1.847</v>
      </c>
      <c r="R296" s="25">
        <f>'Fiscal Forecasts'!R$44</f>
        <v>1.8839999999999999</v>
      </c>
      <c r="S296" s="25">
        <f>'Fiscal Forecasts'!S$44</f>
        <v>1.879</v>
      </c>
      <c r="T296" s="11">
        <f ca="1">T$295+IF(T$4=OFFSET(Choices!$B$10,0,$C$1),AVERAGE((Q$296-Q$295)/Q$11,(R$296-R$295)/R$11,(S$296-S$295)/S$11),(S$296-S$295)/S$11)*T$11</f>
        <v>1.9772297990667158</v>
      </c>
      <c r="U296" s="11">
        <f ca="1">U$295+IF(U$4=OFFSET(Choices!$B$10,0,$C$1),AVERAGE((R$296-R$295)/R$11,(S$296-S$295)/S$11,(T$296-T$295)/T$11),(T$296-T$295)/T$11)*U$11</f>
        <v>2.0355790441580961</v>
      </c>
      <c r="V296" s="11">
        <f ca="1">V$295+IF(V$4=OFFSET(Choices!$B$10,0,$C$1),AVERAGE((S$296-S$295)/S$11,(T$296-T$295)/T$11,(U$296-U$295)/U$11),(U$296-U$295)/U$11)*V$11</f>
        <v>2.0972844721058843</v>
      </c>
      <c r="W296" s="11">
        <f ca="1">W$295+IF(W$4=OFFSET(Choices!$B$10,0,$C$1),AVERAGE((T$296-T$295)/T$11,(U$296-U$295)/U$11,(V$296-V$295)/V$11),(V$296-V$295)/V$11)*W$11</f>
        <v>2.1612836397493513</v>
      </c>
      <c r="X296" s="11">
        <f ca="1">X$295+IF(X$4=OFFSET(Choices!$B$10,0,$C$1),AVERAGE((U$296-U$295)/U$11,(V$296-V$295)/V$11,(W$296-W$295)/W$11),(W$296-W$295)/W$11)*X$11</f>
        <v>2.2279222611538829</v>
      </c>
      <c r="Y296" s="11">
        <f ca="1">Y$295+IF(Y$4=OFFSET(Choices!$B$10,0,$C$1),AVERAGE((V$296-V$295)/V$11,(W$296-W$295)/W$11,(X$296-X$295)/X$11),(X$296-X$295)/X$11)*Y$11</f>
        <v>2.2967154075790113</v>
      </c>
      <c r="Z296" s="11">
        <f ca="1">Z$295+IF(Z$4=OFFSET(Choices!$B$10,0,$C$1),AVERAGE((W$296-W$295)/W$11,(X$296-X$295)/X$11,(Y$296-Y$295)/Y$11),(Y$296-Y$295)/Y$11)*Z$11</f>
        <v>2.3675229897003485</v>
      </c>
      <c r="AA296" s="11">
        <f ca="1">AA$295+IF(AA$4=OFFSET(Choices!$B$10,0,$C$1),AVERAGE((X$296-X$295)/X$11,(Y$296-Y$295)/Y$11,(Z$296-Z$295)/Z$11),(Z$296-Z$295)/Z$11)*AA$11</f>
        <v>2.4403948244970683</v>
      </c>
      <c r="AB296" s="11">
        <f ca="1">AB$295+IF(AB$4=OFFSET(Choices!$B$10,0,$C$1),AVERAGE((Y$296-Y$295)/Y$11,(Z$296-Z$295)/Z$11,(AA$296-AA$295)/AA$11),(AA$296-AA$295)/AA$11)*AB$11</f>
        <v>2.5150495153619299</v>
      </c>
      <c r="AC296" s="11">
        <f ca="1">AC$295+IF(AC$4=OFFSET(Choices!$B$10,0,$C$1),AVERAGE((Z$296-Z$295)/Z$11,(AA$296-AA$295)/AA$11,(AB$296-AB$295)/AB$11),(AB$296-AB$295)/AB$11)*AC$11</f>
        <v>2.5918761410991795</v>
      </c>
      <c r="AD296" s="26"/>
      <c r="AE296" s="26"/>
    </row>
    <row r="297" spans="1:31" x14ac:dyDescent="0.2">
      <c r="A297" s="31"/>
      <c r="B297" s="4"/>
      <c r="AD297" s="26"/>
      <c r="AE297" s="26"/>
    </row>
    <row r="298" spans="1:31" x14ac:dyDescent="0.2">
      <c r="A298" s="31" t="s">
        <v>542</v>
      </c>
      <c r="B298" s="4" t="str">
        <f>$B$46</f>
        <v>From Fiscal Forecasts</v>
      </c>
      <c r="F298" s="23">
        <f>'Fiscal Forecasts'!F$62</f>
        <v>0.52300000000000002</v>
      </c>
      <c r="G298" s="23">
        <f>'Fiscal Forecasts'!G$62</f>
        <v>0.56100000000000005</v>
      </c>
      <c r="H298" s="23">
        <f>'Fiscal Forecasts'!H$62</f>
        <v>0.58599999999999997</v>
      </c>
      <c r="I298" s="23">
        <f>'Fiscal Forecasts'!I$62</f>
        <v>0.63</v>
      </c>
      <c r="J298" s="23">
        <f>'Fiscal Forecasts'!J$62</f>
        <v>0.74099999999999999</v>
      </c>
      <c r="K298" s="23">
        <f>'Fiscal Forecasts'!K$62</f>
        <v>0.86299999999999999</v>
      </c>
      <c r="L298" s="23">
        <f>'Fiscal Forecasts'!L$62</f>
        <v>0.80400000000000005</v>
      </c>
      <c r="M298" s="23">
        <f>'Fiscal Forecasts'!M$62</f>
        <v>0.84199999999999997</v>
      </c>
      <c r="N298" s="23">
        <f>'Fiscal Forecasts'!N$62</f>
        <v>0.77800000000000002</v>
      </c>
      <c r="O298" s="25">
        <f>'Fiscal Forecasts'!O$62</f>
        <v>0.82799999999999996</v>
      </c>
      <c r="P298" s="25">
        <f>'Fiscal Forecasts'!P$62</f>
        <v>0.79700000000000004</v>
      </c>
      <c r="Q298" s="25">
        <f>'Fiscal Forecasts'!Q$62</f>
        <v>0.79100000000000004</v>
      </c>
      <c r="R298" s="25">
        <f>'Fiscal Forecasts'!R$62</f>
        <v>0.77700000000000002</v>
      </c>
      <c r="S298" s="25">
        <f>'Fiscal Forecasts'!S$62</f>
        <v>0.78900000000000003</v>
      </c>
      <c r="T298" s="11">
        <f t="shared" ref="T298:AC298" si="177">S$298</f>
        <v>0.78900000000000003</v>
      </c>
      <c r="U298" s="11">
        <f t="shared" si="177"/>
        <v>0.78900000000000003</v>
      </c>
      <c r="V298" s="11">
        <f t="shared" si="177"/>
        <v>0.78900000000000003</v>
      </c>
      <c r="W298" s="11">
        <f t="shared" si="177"/>
        <v>0.78900000000000003</v>
      </c>
      <c r="X298" s="11">
        <f t="shared" si="177"/>
        <v>0.78900000000000003</v>
      </c>
      <c r="Y298" s="11">
        <f t="shared" si="177"/>
        <v>0.78900000000000003</v>
      </c>
      <c r="Z298" s="11">
        <f t="shared" si="177"/>
        <v>0.78900000000000003</v>
      </c>
      <c r="AA298" s="11">
        <f t="shared" si="177"/>
        <v>0.78900000000000003</v>
      </c>
      <c r="AB298" s="11">
        <f t="shared" si="177"/>
        <v>0.78900000000000003</v>
      </c>
      <c r="AC298" s="11">
        <f t="shared" si="177"/>
        <v>0.78900000000000003</v>
      </c>
      <c r="AD298" s="26"/>
      <c r="AE298" s="26"/>
    </row>
    <row r="299" spans="1:31" x14ac:dyDescent="0.2">
      <c r="A299" s="31" t="s">
        <v>543</v>
      </c>
      <c r="B299" s="4" t="str">
        <f>$B$46</f>
        <v>From Fiscal Forecasts</v>
      </c>
      <c r="F299" s="23">
        <f>'Fiscal Forecasts'!F$45</f>
        <v>1.722</v>
      </c>
      <c r="G299" s="23">
        <f>'Fiscal Forecasts'!G$45</f>
        <v>1.7909999999999999</v>
      </c>
      <c r="H299" s="23">
        <f>'Fiscal Forecasts'!H$45</f>
        <v>1.9810000000000001</v>
      </c>
      <c r="I299" s="23">
        <f>'Fiscal Forecasts'!I$45</f>
        <v>1.9330000000000001</v>
      </c>
      <c r="J299" s="23">
        <f>'Fiscal Forecasts'!J$45</f>
        <v>2.2120000000000002</v>
      </c>
      <c r="K299" s="23">
        <f>'Fiscal Forecasts'!K$45</f>
        <v>2.4459999999999997</v>
      </c>
      <c r="L299" s="23">
        <f>'Fiscal Forecasts'!L$45</f>
        <v>2.351</v>
      </c>
      <c r="M299" s="23">
        <f>'Fiscal Forecasts'!M$45</f>
        <v>2.3719999999999999</v>
      </c>
      <c r="N299" s="23">
        <f>'Fiscal Forecasts'!N$45</f>
        <v>2.198</v>
      </c>
      <c r="O299" s="25">
        <f>'Fiscal Forecasts'!O$45</f>
        <v>2.319</v>
      </c>
      <c r="P299" s="25">
        <f>'Fiscal Forecasts'!P$45</f>
        <v>2.3359999999999999</v>
      </c>
      <c r="Q299" s="25">
        <f>'Fiscal Forecasts'!Q$45</f>
        <v>2.363</v>
      </c>
      <c r="R299" s="25">
        <f>'Fiscal Forecasts'!R$45</f>
        <v>2.3860000000000001</v>
      </c>
      <c r="S299" s="25">
        <f>'Fiscal Forecasts'!S$45</f>
        <v>2.3919999999999999</v>
      </c>
      <c r="T299" s="11">
        <f ca="1">T$298+IF(T$4=OFFSET(Choices!$B$10,0,$C$1),AVERAGE((Q$299-Q$298)/Q$11,(R$299-R$298)/R$11,(S$299-S$298)/S$11),(S$299-S$298)/S$11)*T$11</f>
        <v>2.5275353958230879</v>
      </c>
      <c r="U299" s="11">
        <f ca="1">U$298+IF(U$4=OFFSET(Choices!$B$10,0,$C$1),AVERAGE((R$299-R$298)/R$11,(S$299-S$298)/S$11,(T$299-T$298)/T$11),(T$299-T$298)/T$11)*U$11</f>
        <v>2.6046056976676817</v>
      </c>
      <c r="V299" s="11">
        <f ca="1">V$298+IF(V$4=OFFSET(Choices!$B$10,0,$C$1),AVERAGE((S$299-S$298)/S$11,(T$299-T$298)/T$11,(U$299-U$298)/U$11),(U$299-U$298)/U$11)*V$11</f>
        <v>2.6861089964668023</v>
      </c>
      <c r="W299" s="11">
        <f ca="1">W$298+IF(W$4=OFFSET(Choices!$B$10,0,$C$1),AVERAGE((T$299-T$298)/T$11,(U$299-U$298)/U$11,(V$299-V$298)/V$11),(V$299-V$298)/V$11)*W$11</f>
        <v>2.7706419696074165</v>
      </c>
      <c r="X299" s="11">
        <f ca="1">X$298+IF(X$4=OFFSET(Choices!$B$10,0,$C$1),AVERAGE((U$299-U$298)/U$11,(V$299-V$298)/V$11,(W$299-W$298)/W$11),(W$299-W$298)/W$11)*X$11</f>
        <v>2.858661251744</v>
      </c>
      <c r="Y299" s="11">
        <f ca="1">Y$298+IF(Y$4=OFFSET(Choices!$B$10,0,$C$1),AVERAGE((V$299-V$298)/V$11,(W$299-W$298)/W$11,(X$299-X$298)/X$11),(X$299-X$298)/X$11)*Y$11</f>
        <v>2.9495263272307644</v>
      </c>
      <c r="Z299" s="11">
        <f ca="1">Z$298+IF(Z$4=OFFSET(Choices!$B$10,0,$C$1),AVERAGE((W$299-W$298)/W$11,(X$299-X$298)/X$11,(Y$299-Y$298)/Y$11),(Y$299-Y$298)/Y$11)*Z$11</f>
        <v>3.0430521598003364</v>
      </c>
      <c r="AA299" s="11">
        <f ca="1">AA$298+IF(AA$4=OFFSET(Choices!$B$10,0,$C$1),AVERAGE((X$299-X$298)/X$11,(Y$299-Y$298)/Y$11,(Z$299-Z$298)/Z$11),(Z$299-Z$298)/Z$11)*AA$11</f>
        <v>3.1393045499547769</v>
      </c>
      <c r="AB299" s="11">
        <f ca="1">AB$298+IF(AB$4=OFFSET(Choices!$B$10,0,$C$1),AVERAGE((Y$299-Y$298)/Y$11,(Z$299-Z$298)/Z$11,(AA$299-AA$298)/AA$11),(AA$299-AA$298)/AA$11)*AB$11</f>
        <v>3.237911816425131</v>
      </c>
      <c r="AC299" s="11">
        <f ca="1">AC$298+IF(AC$4=OFFSET(Choices!$B$10,0,$C$1),AVERAGE((Z$299-Z$298)/Z$11,(AA$299-AA$298)/AA$11,(AB$299-AB$298)/AB$11),(AB$299-AB$298)/AB$11)*AC$11</f>
        <v>3.3393878719593304</v>
      </c>
      <c r="AD299" s="26"/>
      <c r="AE299" s="26"/>
    </row>
    <row r="300" spans="1:31" x14ac:dyDescent="0.2">
      <c r="A300" s="31"/>
      <c r="B300" s="4"/>
      <c r="F300" s="23"/>
      <c r="G300" s="23"/>
      <c r="H300" s="23"/>
      <c r="I300" s="23"/>
      <c r="J300" s="23"/>
      <c r="K300" s="23"/>
      <c r="L300" s="23"/>
      <c r="M300" s="23"/>
      <c r="N300" s="23"/>
      <c r="O300" s="25"/>
      <c r="P300" s="25"/>
      <c r="Q300" s="25"/>
      <c r="R300" s="25"/>
      <c r="S300" s="11"/>
      <c r="T300" s="11"/>
      <c r="U300" s="11"/>
      <c r="V300" s="11"/>
      <c r="W300" s="11"/>
      <c r="X300" s="11"/>
      <c r="Y300" s="11"/>
      <c r="Z300" s="11"/>
      <c r="AA300" s="11"/>
      <c r="AB300" s="11"/>
      <c r="AC300" s="11"/>
      <c r="AD300" s="26"/>
      <c r="AE300" s="26"/>
    </row>
    <row r="301" spans="1:31" x14ac:dyDescent="0.2">
      <c r="A301" s="31" t="s">
        <v>544</v>
      </c>
      <c r="B301" s="4" t="str">
        <f>$B$46</f>
        <v>From Fiscal Forecasts</v>
      </c>
      <c r="F301" s="23">
        <f>'Fiscal Forecasts'!F$63</f>
        <v>0.255</v>
      </c>
      <c r="G301" s="23">
        <f>'Fiscal Forecasts'!G$63</f>
        <v>0.26</v>
      </c>
      <c r="H301" s="23">
        <f>'Fiscal Forecasts'!H$63</f>
        <v>0.29699999999999999</v>
      </c>
      <c r="I301" s="23">
        <f>'Fiscal Forecasts'!I$63</f>
        <v>0.30599999999999999</v>
      </c>
      <c r="J301" s="23">
        <f>'Fiscal Forecasts'!J$63</f>
        <v>0.876</v>
      </c>
      <c r="K301" s="23">
        <f>'Fiscal Forecasts'!K$63</f>
        <v>-4.5999999999999999E-2</v>
      </c>
      <c r="L301" s="23">
        <f>'Fiscal Forecasts'!L$63</f>
        <v>0.28299999999999997</v>
      </c>
      <c r="M301" s="23">
        <f>'Fiscal Forecasts'!M$63</f>
        <v>0.34699999999999998</v>
      </c>
      <c r="N301" s="23">
        <f>'Fiscal Forecasts'!N$63</f>
        <v>0.32</v>
      </c>
      <c r="O301" s="25">
        <f>'Fiscal Forecasts'!O$63</f>
        <v>0.61899999999999999</v>
      </c>
      <c r="P301" s="25">
        <f>'Fiscal Forecasts'!P$63</f>
        <v>0.50600000000000001</v>
      </c>
      <c r="Q301" s="25">
        <f>'Fiscal Forecasts'!Q$63</f>
        <v>0.48399999999999999</v>
      </c>
      <c r="R301" s="25">
        <f>'Fiscal Forecasts'!R$63</f>
        <v>0.47699999999999998</v>
      </c>
      <c r="S301" s="25">
        <f>'Fiscal Forecasts'!S$63</f>
        <v>0.47499999999999998</v>
      </c>
      <c r="T301" s="11">
        <f t="shared" ref="T301:AC301" si="178">S$301</f>
        <v>0.47499999999999998</v>
      </c>
      <c r="U301" s="11">
        <f t="shared" si="178"/>
        <v>0.47499999999999998</v>
      </c>
      <c r="V301" s="11">
        <f t="shared" si="178"/>
        <v>0.47499999999999998</v>
      </c>
      <c r="W301" s="11">
        <f t="shared" si="178"/>
        <v>0.47499999999999998</v>
      </c>
      <c r="X301" s="11">
        <f t="shared" si="178"/>
        <v>0.47499999999999998</v>
      </c>
      <c r="Y301" s="11">
        <f t="shared" si="178"/>
        <v>0.47499999999999998</v>
      </c>
      <c r="Z301" s="11">
        <f t="shared" si="178"/>
        <v>0.47499999999999998</v>
      </c>
      <c r="AA301" s="11">
        <f t="shared" si="178"/>
        <v>0.47499999999999998</v>
      </c>
      <c r="AB301" s="11">
        <f t="shared" si="178"/>
        <v>0.47499999999999998</v>
      </c>
      <c r="AC301" s="11">
        <f t="shared" si="178"/>
        <v>0.47499999999999998</v>
      </c>
      <c r="AD301" s="26"/>
      <c r="AE301" s="26"/>
    </row>
    <row r="302" spans="1:31" x14ac:dyDescent="0.2">
      <c r="A302" s="31" t="s">
        <v>545</v>
      </c>
      <c r="B302" s="4" t="str">
        <f>$B$46</f>
        <v>From Fiscal Forecasts</v>
      </c>
      <c r="F302" s="23">
        <f>'Fiscal Forecasts'!F$46</f>
        <v>0.86499999999999999</v>
      </c>
      <c r="G302" s="23">
        <f>'Fiscal Forecasts'!G$46</f>
        <v>0.93799999999999994</v>
      </c>
      <c r="H302" s="23">
        <f>'Fiscal Forecasts'!H$46</f>
        <v>1.075</v>
      </c>
      <c r="I302" s="23">
        <f>'Fiscal Forecasts'!I$46</f>
        <v>1.087</v>
      </c>
      <c r="J302" s="23">
        <f>'Fiscal Forecasts'!J$46</f>
        <v>1.655</v>
      </c>
      <c r="K302" s="23">
        <f>'Fiscal Forecasts'!K$46</f>
        <v>0.627</v>
      </c>
      <c r="L302" s="23">
        <f>'Fiscal Forecasts'!L$46</f>
        <v>0.98899999999999999</v>
      </c>
      <c r="M302" s="23">
        <f>'Fiscal Forecasts'!M$46</f>
        <v>1.095</v>
      </c>
      <c r="N302" s="23">
        <f>'Fiscal Forecasts'!N$46</f>
        <v>1.1140000000000001</v>
      </c>
      <c r="O302" s="25">
        <f>'Fiscal Forecasts'!O$46</f>
        <v>1.5349999999999999</v>
      </c>
      <c r="P302" s="25">
        <f>'Fiscal Forecasts'!P$46</f>
        <v>1.581</v>
      </c>
      <c r="Q302" s="25">
        <f>'Fiscal Forecasts'!Q$46</f>
        <v>1.6</v>
      </c>
      <c r="R302" s="25">
        <f>'Fiscal Forecasts'!R$46</f>
        <v>1.6140000000000001</v>
      </c>
      <c r="S302" s="25">
        <f>'Fiscal Forecasts'!S$46</f>
        <v>1.639</v>
      </c>
      <c r="T302" s="11">
        <f ca="1">T$301+IF(T$4=OFFSET(Choices!$B$10,0,$C$1),AVERAGE((Q$302-Q$301)/Q$11,(R$302-R$301)/R$11,(S$302-S$301)/S$11),(S$302-S$301)/S$11)*T$11</f>
        <v>1.7163690877223501</v>
      </c>
      <c r="U302" s="11">
        <f ca="1">U$301+IF(U$4=OFFSET(Choices!$B$10,0,$C$1),AVERAGE((R$302-R$301)/R$11,(S$302-S$301)/S$11,(T$302-T$301)/T$11),(T$302-T$301)/T$11)*U$11</f>
        <v>1.7713997132253843</v>
      </c>
      <c r="V302" s="11">
        <f ca="1">V$301+IF(V$4=OFFSET(Choices!$B$10,0,$C$1),AVERAGE((S$302-S$301)/S$11,(T$302-T$301)/T$11,(U$302-U$301)/U$11),(U$302-U$301)/U$11)*V$11</f>
        <v>1.8295956383240077</v>
      </c>
      <c r="W302" s="11">
        <f ca="1">W$301+IF(W$4=OFFSET(Choices!$B$10,0,$C$1),AVERAGE((T$302-T$301)/T$11,(U$302-U$301)/U$11,(V$302-V$301)/V$11),(V$302-V$301)/V$11)*W$11</f>
        <v>1.8899548464264928</v>
      </c>
      <c r="X302" s="11">
        <f ca="1">X$301+IF(X$4=OFFSET(Choices!$B$10,0,$C$1),AVERAGE((U$302-U$301)/U$11,(V$302-V$301)/V$11,(W$302-W$301)/W$11),(W$302-W$301)/W$11)*X$11</f>
        <v>1.9528033890735852</v>
      </c>
      <c r="Y302" s="11">
        <f ca="1">Y$301+IF(Y$4=OFFSET(Choices!$B$10,0,$C$1),AVERAGE((V$302-V$301)/V$11,(W$302-W$301)/W$11,(X$302-X$301)/X$11),(X$302-X$301)/X$11)*Y$11</f>
        <v>2.0176839178990709</v>
      </c>
      <c r="Z302" s="11">
        <f ca="1">Z$301+IF(Z$4=OFFSET(Choices!$B$10,0,$C$1),AVERAGE((W$302-W$301)/W$11,(X$302-X$301)/X$11,(Y$302-Y$301)/Y$11),(Y$302-Y$301)/Y$11)*Z$11</f>
        <v>2.0844643111739494</v>
      </c>
      <c r="AA302" s="11">
        <f ca="1">AA$301+IF(AA$4=OFFSET(Choices!$B$10,0,$C$1),AVERAGE((X$302-X$301)/X$11,(Y$302-Y$301)/Y$11,(Z$302-Z$301)/Z$11),(Z$302-Z$301)/Z$11)*AA$11</f>
        <v>2.1531915525313479</v>
      </c>
      <c r="AB302" s="11">
        <f ca="1">AB$301+IF(AB$4=OFFSET(Choices!$B$10,0,$C$1),AVERAGE((Y$302-Y$301)/Y$11,(Z$302-Z$301)/Z$11,(AA$302-AA$301)/AA$11),(AA$302-AA$301)/AA$11)*AB$11</f>
        <v>2.2236002498263177</v>
      </c>
      <c r="AC302" s="11">
        <f ca="1">AC$301+IF(AC$4=OFFSET(Choices!$B$10,0,$C$1),AVERAGE((Z$302-Z$301)/Z$11,(AA$302-AA$301)/AA$11,(AB$302-AB$301)/AB$11),(AB$302-AB$301)/AB$11)*AC$11</f>
        <v>2.2960573529642798</v>
      </c>
      <c r="AD302" s="26"/>
      <c r="AE302" s="26"/>
    </row>
    <row r="303" spans="1:31" x14ac:dyDescent="0.2">
      <c r="A303" s="31"/>
      <c r="B303" s="4"/>
      <c r="F303" s="23"/>
      <c r="G303" s="23"/>
      <c r="H303" s="23"/>
      <c r="I303" s="23"/>
      <c r="J303" s="23"/>
      <c r="K303" s="23"/>
      <c r="L303" s="23"/>
      <c r="M303" s="23"/>
      <c r="N303" s="23"/>
      <c r="O303" s="25"/>
      <c r="P303" s="25"/>
      <c r="Q303" s="25"/>
      <c r="R303" s="25"/>
      <c r="S303" s="25"/>
      <c r="T303" s="11"/>
      <c r="U303" s="11"/>
      <c r="V303" s="11"/>
      <c r="W303" s="11"/>
      <c r="X303" s="11"/>
      <c r="Y303" s="11"/>
      <c r="Z303" s="11"/>
      <c r="AA303" s="11"/>
      <c r="AB303" s="11"/>
      <c r="AC303" s="11"/>
      <c r="AD303" s="26"/>
      <c r="AE303" s="26"/>
    </row>
    <row r="304" spans="1:31" x14ac:dyDescent="0.2">
      <c r="A304" s="31" t="s">
        <v>546</v>
      </c>
      <c r="B304" s="4"/>
      <c r="AD304" s="26"/>
      <c r="AE304" s="26"/>
    </row>
    <row r="305" spans="1:31" x14ac:dyDescent="0.2">
      <c r="A305" s="3" t="s">
        <v>550</v>
      </c>
      <c r="B305" s="4" t="str">
        <f>$B$46</f>
        <v>From Fiscal Forecasts</v>
      </c>
      <c r="F305" s="21">
        <f>-'Fiscal Forecasts'!F$417</f>
        <v>0</v>
      </c>
      <c r="G305" s="21">
        <f>-'Fiscal Forecasts'!G$417</f>
        <v>0</v>
      </c>
      <c r="H305" s="21">
        <f>-'Fiscal Forecasts'!H$417</f>
        <v>1.7000000000000001E-2</v>
      </c>
      <c r="I305" s="21">
        <f>-'Fiscal Forecasts'!I$417</f>
        <v>0.08</v>
      </c>
      <c r="J305" s="21">
        <f>-'Fiscal Forecasts'!J$417</f>
        <v>0.86</v>
      </c>
      <c r="K305" s="21">
        <f>-'Fiscal Forecasts'!K$417</f>
        <v>0.33400000000000002</v>
      </c>
      <c r="L305" s="21">
        <f>-'Fiscal Forecasts'!L$417</f>
        <v>7.9000000000000001E-2</v>
      </c>
      <c r="M305" s="21">
        <f>-'Fiscal Forecasts'!M$417</f>
        <v>7.0000000000000007E-2</v>
      </c>
      <c r="N305" s="21">
        <f>-'Fiscal Forecasts'!N$417</f>
        <v>0.13</v>
      </c>
      <c r="O305" s="24">
        <f>-'Fiscal Forecasts'!O$417</f>
        <v>0.114</v>
      </c>
      <c r="P305" s="24">
        <f>-'Fiscal Forecasts'!P$417</f>
        <v>0.11899999999999999</v>
      </c>
      <c r="Q305" s="24">
        <f>-'Fiscal Forecasts'!Q$417</f>
        <v>0.14799999999999999</v>
      </c>
      <c r="R305" s="24">
        <f>-'Fiscal Forecasts'!R$417</f>
        <v>0.152</v>
      </c>
      <c r="S305" s="24">
        <f>-'Fiscal Forecasts'!S$417</f>
        <v>0.12</v>
      </c>
      <c r="T305" s="26">
        <f t="shared" ref="T305:AC305" ca="1" si="179">T$147</f>
        <v>0.18163010038610039</v>
      </c>
      <c r="U305" s="26">
        <f t="shared" ca="1" si="179"/>
        <v>0.18526270239382242</v>
      </c>
      <c r="V305" s="26">
        <f t="shared" ca="1" si="179"/>
        <v>0.18896795644169886</v>
      </c>
      <c r="W305" s="26">
        <f t="shared" ca="1" si="179"/>
        <v>0.19274731557053282</v>
      </c>
      <c r="X305" s="26">
        <f t="shared" ca="1" si="179"/>
        <v>0.19660226188194349</v>
      </c>
      <c r="Y305" s="26">
        <f t="shared" ca="1" si="179"/>
        <v>0.20053430711958239</v>
      </c>
      <c r="Z305" s="26">
        <f t="shared" ca="1" si="179"/>
        <v>0.20454499326197403</v>
      </c>
      <c r="AA305" s="26">
        <f t="shared" ca="1" si="179"/>
        <v>0.20863589312721351</v>
      </c>
      <c r="AB305" s="26">
        <f t="shared" ca="1" si="179"/>
        <v>0.21280861098975778</v>
      </c>
      <c r="AC305" s="26">
        <f t="shared" ca="1" si="179"/>
        <v>0.21706478320955291</v>
      </c>
      <c r="AD305" s="26"/>
      <c r="AE305" s="26"/>
    </row>
    <row r="306" spans="1:31" x14ac:dyDescent="0.2">
      <c r="A306" s="3" t="s">
        <v>547</v>
      </c>
      <c r="B306" s="4" t="str">
        <f>$B$46</f>
        <v>From Fiscal Forecasts</v>
      </c>
      <c r="F306" s="21">
        <f>'Fiscal Forecasts'!F$64-F$305</f>
        <v>0.32100000000000001</v>
      </c>
      <c r="G306" s="21">
        <f>'Fiscal Forecasts'!G$64-G$305</f>
        <v>0.54600000000000004</v>
      </c>
      <c r="H306" s="21">
        <f>'Fiscal Forecasts'!H$64-H$305</f>
        <v>0.39899999999999997</v>
      </c>
      <c r="I306" s="21">
        <f>'Fiscal Forecasts'!I$64-I$305</f>
        <v>0.57100000000000006</v>
      </c>
      <c r="J306" s="21">
        <f>'Fiscal Forecasts'!J$64-J$305</f>
        <v>0.3650000000000001</v>
      </c>
      <c r="K306" s="21">
        <f>'Fiscal Forecasts'!K$64-K$305</f>
        <v>0.435</v>
      </c>
      <c r="L306" s="21">
        <f>'Fiscal Forecasts'!L$64-L$305</f>
        <v>0.45100000000000001</v>
      </c>
      <c r="M306" s="21">
        <f>'Fiscal Forecasts'!M$64-M$305</f>
        <v>0.46300000000000002</v>
      </c>
      <c r="N306" s="21">
        <f>'Fiscal Forecasts'!N$64-N$305</f>
        <v>0.59299999999999997</v>
      </c>
      <c r="O306" s="24">
        <f>'Fiscal Forecasts'!O$64-O$305</f>
        <v>0.52300000000000002</v>
      </c>
      <c r="P306" s="24">
        <f>'Fiscal Forecasts'!P$64-P$305</f>
        <v>0.46199999999999997</v>
      </c>
      <c r="Q306" s="24">
        <f>'Fiscal Forecasts'!Q$64-Q$305</f>
        <v>0.47699999999999998</v>
      </c>
      <c r="R306" s="24">
        <f>'Fiscal Forecasts'!R$64-R$305</f>
        <v>0.47499999999999998</v>
      </c>
      <c r="S306" s="24">
        <f>'Fiscal Forecasts'!S$64-S$305</f>
        <v>0.47599999999999998</v>
      </c>
      <c r="T306" s="26">
        <f t="shared" ref="T306:AC306" si="180">S$306</f>
        <v>0.47599999999999998</v>
      </c>
      <c r="U306" s="26">
        <f t="shared" si="180"/>
        <v>0.47599999999999998</v>
      </c>
      <c r="V306" s="26">
        <f t="shared" si="180"/>
        <v>0.47599999999999998</v>
      </c>
      <c r="W306" s="26">
        <f t="shared" si="180"/>
        <v>0.47599999999999998</v>
      </c>
      <c r="X306" s="26">
        <f t="shared" si="180"/>
        <v>0.47599999999999998</v>
      </c>
      <c r="Y306" s="26">
        <f t="shared" si="180"/>
        <v>0.47599999999999998</v>
      </c>
      <c r="Z306" s="26">
        <f t="shared" si="180"/>
        <v>0.47599999999999998</v>
      </c>
      <c r="AA306" s="26">
        <f t="shared" si="180"/>
        <v>0.47599999999999998</v>
      </c>
      <c r="AB306" s="26">
        <f t="shared" si="180"/>
        <v>0.47599999999999998</v>
      </c>
      <c r="AC306" s="26">
        <f t="shared" si="180"/>
        <v>0.47599999999999998</v>
      </c>
      <c r="AD306" s="26"/>
      <c r="AE306" s="26"/>
    </row>
    <row r="307" spans="1:31" x14ac:dyDescent="0.2">
      <c r="A307" s="31" t="s">
        <v>548</v>
      </c>
      <c r="B307" s="4"/>
      <c r="F307" s="56">
        <f>SUM(F$305:F$306)</f>
        <v>0.32100000000000001</v>
      </c>
      <c r="G307" s="56">
        <f t="shared" ref="G307:AC307" si="181">SUM(G$305:G$306)</f>
        <v>0.54600000000000004</v>
      </c>
      <c r="H307" s="56">
        <f t="shared" si="181"/>
        <v>0.41599999999999998</v>
      </c>
      <c r="I307" s="56">
        <f t="shared" si="181"/>
        <v>0.65100000000000002</v>
      </c>
      <c r="J307" s="56">
        <f t="shared" si="181"/>
        <v>1.2250000000000001</v>
      </c>
      <c r="K307" s="56">
        <f t="shared" si="181"/>
        <v>0.76900000000000002</v>
      </c>
      <c r="L307" s="56">
        <f t="shared" si="181"/>
        <v>0.53</v>
      </c>
      <c r="M307" s="56">
        <f t="shared" si="181"/>
        <v>0.53300000000000003</v>
      </c>
      <c r="N307" s="56">
        <f t="shared" si="181"/>
        <v>0.72299999999999998</v>
      </c>
      <c r="O307" s="57">
        <f t="shared" si="181"/>
        <v>0.63700000000000001</v>
      </c>
      <c r="P307" s="57">
        <f t="shared" si="181"/>
        <v>0.58099999999999996</v>
      </c>
      <c r="Q307" s="57">
        <f t="shared" si="181"/>
        <v>0.625</v>
      </c>
      <c r="R307" s="57">
        <f t="shared" si="181"/>
        <v>0.627</v>
      </c>
      <c r="S307" s="57">
        <f t="shared" si="181"/>
        <v>0.59599999999999997</v>
      </c>
      <c r="T307" s="58">
        <f t="shared" ca="1" si="181"/>
        <v>0.65763010038610037</v>
      </c>
      <c r="U307" s="58">
        <f t="shared" ca="1" si="181"/>
        <v>0.66126270239382245</v>
      </c>
      <c r="V307" s="58">
        <f t="shared" ca="1" si="181"/>
        <v>0.66496795644169882</v>
      </c>
      <c r="W307" s="58">
        <f t="shared" ca="1" si="181"/>
        <v>0.6687473155705328</v>
      </c>
      <c r="X307" s="58">
        <f t="shared" ca="1" si="181"/>
        <v>0.6726022618819435</v>
      </c>
      <c r="Y307" s="58">
        <f t="shared" ca="1" si="181"/>
        <v>0.6765343071195824</v>
      </c>
      <c r="Z307" s="58">
        <f t="shared" ca="1" si="181"/>
        <v>0.68054499326197404</v>
      </c>
      <c r="AA307" s="58">
        <f t="shared" ca="1" si="181"/>
        <v>0.68463589312721351</v>
      </c>
      <c r="AB307" s="58">
        <f t="shared" ca="1" si="181"/>
        <v>0.68880861098975776</v>
      </c>
      <c r="AC307" s="58">
        <f t="shared" ca="1" si="181"/>
        <v>0.69306478320955289</v>
      </c>
      <c r="AD307" s="26"/>
      <c r="AE307" s="26"/>
    </row>
    <row r="308" spans="1:31" x14ac:dyDescent="0.2">
      <c r="A308" s="31" t="s">
        <v>549</v>
      </c>
      <c r="B308" s="4" t="str">
        <f>$B$46</f>
        <v>From Fiscal Forecasts</v>
      </c>
      <c r="F308" s="23">
        <f>'Fiscal Forecasts'!F$47</f>
        <v>0.32100000000000001</v>
      </c>
      <c r="G308" s="23">
        <f>'Fiscal Forecasts'!G$47</f>
        <v>0.54600000000000004</v>
      </c>
      <c r="H308" s="23">
        <f>'Fiscal Forecasts'!H$47</f>
        <v>0.41599999999999998</v>
      </c>
      <c r="I308" s="23">
        <f>'Fiscal Forecasts'!I$47</f>
        <v>0.65100000000000002</v>
      </c>
      <c r="J308" s="23">
        <f>'Fiscal Forecasts'!J$47</f>
        <v>1.2250000000000001</v>
      </c>
      <c r="K308" s="23">
        <f>'Fiscal Forecasts'!K$47</f>
        <v>0.76900000000000002</v>
      </c>
      <c r="L308" s="23">
        <f>'Fiscal Forecasts'!L$47</f>
        <v>0.52800000000000002</v>
      </c>
      <c r="M308" s="23">
        <f>'Fiscal Forecasts'!M$47</f>
        <v>0.53800000000000003</v>
      </c>
      <c r="N308" s="23">
        <f>'Fiscal Forecasts'!N$47</f>
        <v>0.61599999999999999</v>
      </c>
      <c r="O308" s="25">
        <f>'Fiscal Forecasts'!O$47</f>
        <v>0.63900000000000001</v>
      </c>
      <c r="P308" s="25">
        <f>'Fiscal Forecasts'!P$47</f>
        <v>0.58199999999999996</v>
      </c>
      <c r="Q308" s="25">
        <f>'Fiscal Forecasts'!Q$47</f>
        <v>0.627</v>
      </c>
      <c r="R308" s="25">
        <f>'Fiscal Forecasts'!R$47</f>
        <v>0.629</v>
      </c>
      <c r="S308" s="25">
        <f>'Fiscal Forecasts'!S$47</f>
        <v>0.59799999999999998</v>
      </c>
      <c r="T308" s="11">
        <f t="shared" ref="T308:AC308" ca="1" si="182">T$307</f>
        <v>0.65763010038610037</v>
      </c>
      <c r="U308" s="11">
        <f t="shared" ca="1" si="182"/>
        <v>0.66126270239382245</v>
      </c>
      <c r="V308" s="11">
        <f t="shared" ca="1" si="182"/>
        <v>0.66496795644169882</v>
      </c>
      <c r="W308" s="11">
        <f t="shared" ca="1" si="182"/>
        <v>0.6687473155705328</v>
      </c>
      <c r="X308" s="11">
        <f t="shared" ca="1" si="182"/>
        <v>0.6726022618819435</v>
      </c>
      <c r="Y308" s="11">
        <f t="shared" ca="1" si="182"/>
        <v>0.6765343071195824</v>
      </c>
      <c r="Z308" s="11">
        <f t="shared" ca="1" si="182"/>
        <v>0.68054499326197404</v>
      </c>
      <c r="AA308" s="11">
        <f t="shared" ca="1" si="182"/>
        <v>0.68463589312721351</v>
      </c>
      <c r="AB308" s="11">
        <f t="shared" ca="1" si="182"/>
        <v>0.68880861098975776</v>
      </c>
      <c r="AC308" s="11">
        <f t="shared" ca="1" si="182"/>
        <v>0.69306478320955289</v>
      </c>
      <c r="AD308" s="26"/>
      <c r="AE308" s="26"/>
    </row>
    <row r="309" spans="1:31" x14ac:dyDescent="0.2">
      <c r="A309" s="31"/>
      <c r="B309" s="4"/>
      <c r="F309" s="23"/>
      <c r="G309" s="23"/>
      <c r="H309" s="23"/>
      <c r="I309" s="23"/>
      <c r="J309" s="23"/>
      <c r="K309" s="23"/>
      <c r="L309" s="23"/>
      <c r="M309" s="23"/>
      <c r="N309" s="23"/>
      <c r="O309" s="25"/>
      <c r="P309" s="25"/>
      <c r="Q309" s="25"/>
      <c r="R309" s="25"/>
      <c r="S309" s="25"/>
      <c r="T309" s="11"/>
      <c r="U309" s="11"/>
      <c r="V309" s="11"/>
      <c r="W309" s="11"/>
      <c r="X309" s="11"/>
      <c r="Y309" s="11"/>
      <c r="Z309" s="11"/>
      <c r="AA309" s="11"/>
      <c r="AB309" s="11"/>
      <c r="AC309" s="11"/>
      <c r="AD309" s="26"/>
      <c r="AE309" s="26"/>
    </row>
    <row r="310" spans="1:31" x14ac:dyDescent="0.2">
      <c r="A310" s="31" t="s">
        <v>551</v>
      </c>
      <c r="B310" s="4" t="str">
        <f>$B$46</f>
        <v>From Fiscal Forecasts</v>
      </c>
      <c r="F310" s="23">
        <f>'Fiscal Forecasts'!F$65</f>
        <v>6.8000000000000005E-2</v>
      </c>
      <c r="G310" s="23">
        <f>'Fiscal Forecasts'!G$65</f>
        <v>0.254</v>
      </c>
      <c r="H310" s="23">
        <f>'Fiscal Forecasts'!H$65</f>
        <v>0.11799999999999999</v>
      </c>
      <c r="I310" s="23">
        <f>'Fiscal Forecasts'!I$65</f>
        <v>0.08</v>
      </c>
      <c r="J310" s="23">
        <f>'Fiscal Forecasts'!J$65</f>
        <v>0.47899999999999998</v>
      </c>
      <c r="K310" s="23">
        <f>'Fiscal Forecasts'!K$65</f>
        <v>0.42499999999999999</v>
      </c>
      <c r="L310" s="23">
        <f>'Fiscal Forecasts'!L$65</f>
        <v>0.60299999999999998</v>
      </c>
      <c r="M310" s="23">
        <f>'Fiscal Forecasts'!M$65</f>
        <v>0.57899999999999996</v>
      </c>
      <c r="N310" s="23">
        <f>'Fiscal Forecasts'!N$65</f>
        <v>0.14499999999999999</v>
      </c>
      <c r="O310" s="25">
        <f>'Fiscal Forecasts'!O$65</f>
        <v>0.53900000000000003</v>
      </c>
      <c r="P310" s="25">
        <f>'Fiscal Forecasts'!P$65</f>
        <v>0.42899999999999999</v>
      </c>
      <c r="Q310" s="25">
        <f>'Fiscal Forecasts'!Q$65</f>
        <v>0.48799999999999999</v>
      </c>
      <c r="R310" s="25">
        <f>'Fiscal Forecasts'!R$65</f>
        <v>0.48399999999999999</v>
      </c>
      <c r="S310" s="25">
        <f>'Fiscal Forecasts'!S$65</f>
        <v>0.48399999999999999</v>
      </c>
      <c r="T310" s="11">
        <f ca="1">IF(T$4&lt;=OFFSET(Choices!$B$48,0,$C$1),S$310,0)</f>
        <v>0</v>
      </c>
      <c r="U310" s="11">
        <f ca="1">IF(U$4&lt;=OFFSET(Choices!$B$48,0,$C$1),T$310,0)</f>
        <v>0</v>
      </c>
      <c r="V310" s="11">
        <f ca="1">IF(V$4&lt;=OFFSET(Choices!$B$48,0,$C$1),U$310,0)</f>
        <v>0</v>
      </c>
      <c r="W310" s="11">
        <f ca="1">IF(W$4&lt;=OFFSET(Choices!$B$48,0,$C$1),V$310,0)</f>
        <v>0</v>
      </c>
      <c r="X310" s="11">
        <f ca="1">IF(X$4&lt;=OFFSET(Choices!$B$48,0,$C$1),W$310,0)</f>
        <v>0</v>
      </c>
      <c r="Y310" s="11">
        <f ca="1">IF(Y$4&lt;=OFFSET(Choices!$B$48,0,$C$1),X$310,0)</f>
        <v>0</v>
      </c>
      <c r="Z310" s="11">
        <f ca="1">IF(Z$4&lt;=OFFSET(Choices!$B$48,0,$C$1),Y$310,0)</f>
        <v>0</v>
      </c>
      <c r="AA310" s="11">
        <f ca="1">IF(AA$4&lt;=OFFSET(Choices!$B$48,0,$C$1),Z$310,0)</f>
        <v>0</v>
      </c>
      <c r="AB310" s="11">
        <f ca="1">IF(AB$4&lt;=OFFSET(Choices!$B$48,0,$C$1),AA$310,0)</f>
        <v>0</v>
      </c>
      <c r="AC310" s="11">
        <f ca="1">IF(AC$4&lt;=OFFSET(Choices!$B$48,0,$C$1),AB$310,0)</f>
        <v>0</v>
      </c>
      <c r="AD310" s="26"/>
      <c r="AE310" s="26"/>
    </row>
    <row r="311" spans="1:31" x14ac:dyDescent="0.2">
      <c r="A311" s="31" t="s">
        <v>552</v>
      </c>
      <c r="B311" s="4" t="str">
        <f>$B$46</f>
        <v>From Fiscal Forecasts</v>
      </c>
      <c r="F311" s="23">
        <f>'Fiscal Forecasts'!F$48</f>
        <v>7.3999999999999996E-2</v>
      </c>
      <c r="G311" s="23">
        <f>'Fiscal Forecasts'!G$48</f>
        <v>0.25900000000000001</v>
      </c>
      <c r="H311" s="23">
        <f>'Fiscal Forecasts'!H$48</f>
        <v>0.11799999999999999</v>
      </c>
      <c r="I311" s="23">
        <f>'Fiscal Forecasts'!I$48</f>
        <v>0.08</v>
      </c>
      <c r="J311" s="23">
        <f>'Fiscal Forecasts'!J$48</f>
        <v>0.47899999999999998</v>
      </c>
      <c r="K311" s="23">
        <f>'Fiscal Forecasts'!K$48</f>
        <v>0.42499999999999999</v>
      </c>
      <c r="L311" s="23">
        <f>'Fiscal Forecasts'!L$48</f>
        <v>0.60299999999999998</v>
      </c>
      <c r="M311" s="23">
        <f>'Fiscal Forecasts'!M$48</f>
        <v>0.57899999999999996</v>
      </c>
      <c r="N311" s="23">
        <f>'Fiscal Forecasts'!N$48</f>
        <v>0.14499999999999999</v>
      </c>
      <c r="O311" s="25">
        <f>'Fiscal Forecasts'!O$48</f>
        <v>0.53900000000000003</v>
      </c>
      <c r="P311" s="25">
        <f>'Fiscal Forecasts'!P$48</f>
        <v>0.42899999999999999</v>
      </c>
      <c r="Q311" s="25">
        <f>'Fiscal Forecasts'!Q$48</f>
        <v>0.48799999999999999</v>
      </c>
      <c r="R311" s="25">
        <f>'Fiscal Forecasts'!R$48</f>
        <v>0.48399999999999999</v>
      </c>
      <c r="S311" s="25">
        <f>'Fiscal Forecasts'!S$48</f>
        <v>0.48399999999999999</v>
      </c>
      <c r="T311" s="11">
        <f t="shared" ref="T311:AC311" ca="1" si="183">T$310</f>
        <v>0</v>
      </c>
      <c r="U311" s="11">
        <f t="shared" ca="1" si="183"/>
        <v>0</v>
      </c>
      <c r="V311" s="11">
        <f t="shared" ca="1" si="183"/>
        <v>0</v>
      </c>
      <c r="W311" s="11">
        <f t="shared" ca="1" si="183"/>
        <v>0</v>
      </c>
      <c r="X311" s="11">
        <f t="shared" ca="1" si="183"/>
        <v>0</v>
      </c>
      <c r="Y311" s="11">
        <f t="shared" ca="1" si="183"/>
        <v>0</v>
      </c>
      <c r="Z311" s="11">
        <f t="shared" ca="1" si="183"/>
        <v>0</v>
      </c>
      <c r="AA311" s="11">
        <f t="shared" ca="1" si="183"/>
        <v>0</v>
      </c>
      <c r="AB311" s="11">
        <f t="shared" ca="1" si="183"/>
        <v>0</v>
      </c>
      <c r="AC311" s="11">
        <f t="shared" ca="1" si="183"/>
        <v>0</v>
      </c>
      <c r="AD311" s="26"/>
      <c r="AE311" s="26"/>
    </row>
    <row r="312" spans="1:31" x14ac:dyDescent="0.2">
      <c r="A312" s="31"/>
      <c r="B312" s="4"/>
      <c r="F312" s="23"/>
      <c r="G312" s="23"/>
      <c r="H312" s="23"/>
      <c r="I312" s="23"/>
      <c r="J312" s="23"/>
      <c r="K312" s="23"/>
      <c r="L312" s="23"/>
      <c r="M312" s="23"/>
      <c r="N312" s="23"/>
      <c r="O312" s="25"/>
      <c r="P312" s="25"/>
      <c r="Q312" s="25"/>
      <c r="R312" s="25"/>
      <c r="S312" s="11"/>
      <c r="T312" s="11"/>
      <c r="U312" s="11"/>
      <c r="V312" s="11"/>
      <c r="W312" s="11"/>
      <c r="X312" s="11"/>
      <c r="Y312" s="11"/>
      <c r="Z312" s="11"/>
      <c r="AA312" s="11"/>
      <c r="AB312" s="11"/>
      <c r="AC312" s="11"/>
      <c r="AD312" s="26"/>
      <c r="AE312" s="26"/>
    </row>
    <row r="313" spans="1:31" x14ac:dyDescent="0.2">
      <c r="A313" s="31" t="s">
        <v>315</v>
      </c>
      <c r="B313" s="4"/>
      <c r="F313" s="23"/>
      <c r="G313" s="23"/>
      <c r="H313" s="23"/>
      <c r="I313" s="23"/>
      <c r="J313" s="23"/>
      <c r="K313" s="23"/>
      <c r="L313" s="23"/>
      <c r="M313" s="23"/>
      <c r="N313" s="23"/>
      <c r="O313" s="25"/>
      <c r="P313" s="25"/>
      <c r="Q313" s="25"/>
      <c r="R313" s="25"/>
      <c r="S313" s="11"/>
      <c r="T313" s="11"/>
      <c r="U313" s="11"/>
      <c r="V313" s="11"/>
      <c r="W313" s="11"/>
      <c r="X313" s="11"/>
      <c r="Y313" s="11"/>
      <c r="Z313" s="11"/>
      <c r="AA313" s="11"/>
      <c r="AB313" s="11"/>
      <c r="AC313" s="11"/>
      <c r="AD313" s="26"/>
      <c r="AE313" s="26"/>
    </row>
    <row r="314" spans="1:31" x14ac:dyDescent="0.2">
      <c r="A314" s="3" t="s">
        <v>553</v>
      </c>
      <c r="B314" s="4" t="str">
        <f t="shared" ref="B314:B319" si="184">$B$46</f>
        <v>From Fiscal Forecasts</v>
      </c>
      <c r="F314" s="21">
        <f>'Fiscal Forecasts'!F$275</f>
        <v>0</v>
      </c>
      <c r="G314" s="21">
        <f>'Fiscal Forecasts'!G$275</f>
        <v>0</v>
      </c>
      <c r="H314" s="21">
        <f>'Fiscal Forecasts'!H$275</f>
        <v>0</v>
      </c>
      <c r="I314" s="21">
        <f>'Fiscal Forecasts'!I$275</f>
        <v>0</v>
      </c>
      <c r="J314" s="21">
        <f>'Fiscal Forecasts'!J$275</f>
        <v>0</v>
      </c>
      <c r="K314" s="21">
        <f>'Fiscal Forecasts'!K$275</f>
        <v>0</v>
      </c>
      <c r="L314" s="21">
        <f>'Fiscal Forecasts'!L$275</f>
        <v>0</v>
      </c>
      <c r="M314" s="21">
        <f>'Fiscal Forecasts'!M$275</f>
        <v>0</v>
      </c>
      <c r="N314" s="21">
        <f>'Fiscal Forecasts'!N$275</f>
        <v>0</v>
      </c>
      <c r="O314" s="24">
        <f>'Fiscal Forecasts'!O$275</f>
        <v>0.34899999999999998</v>
      </c>
      <c r="P314" s="24">
        <f>'Fiscal Forecasts'!P$275</f>
        <v>0.35599999999999998</v>
      </c>
      <c r="Q314" s="24">
        <f>'Fiscal Forecasts'!Q$275</f>
        <v>9.8000000000000004E-2</v>
      </c>
      <c r="R314" s="24">
        <f>'Fiscal Forecasts'!R$275</f>
        <v>0</v>
      </c>
      <c r="S314" s="24">
        <f>'Fiscal Forecasts'!S$275</f>
        <v>0</v>
      </c>
      <c r="T314" s="26">
        <f ca="1">IF(T$4=OFFSET(Choices!$B$10,0,$C$1),0,S$314)</f>
        <v>0</v>
      </c>
      <c r="U314" s="26">
        <f ca="1">IF(U$4=OFFSET(Choices!$B$10,0,$C$1),0,T$314)</f>
        <v>0</v>
      </c>
      <c r="V314" s="26">
        <f ca="1">IF(V$4=OFFSET(Choices!$B$10,0,$C$1),0,U$314)</f>
        <v>0</v>
      </c>
      <c r="W314" s="26">
        <f ca="1">IF(W$4=OFFSET(Choices!$B$10,0,$C$1),0,V$314)</f>
        <v>0</v>
      </c>
      <c r="X314" s="26">
        <f ca="1">IF(X$4=OFFSET(Choices!$B$10,0,$C$1),0,W$314)</f>
        <v>0</v>
      </c>
      <c r="Y314" s="26">
        <f ca="1">IF(Y$4=OFFSET(Choices!$B$10,0,$C$1),0,X$314)</f>
        <v>0</v>
      </c>
      <c r="Z314" s="26">
        <f ca="1">IF(Z$4=OFFSET(Choices!$B$10,0,$C$1),0,Y$314)</f>
        <v>0</v>
      </c>
      <c r="AA314" s="26">
        <f ca="1">IF(AA$4=OFFSET(Choices!$B$10,0,$C$1),0,Z$314)</f>
        <v>0</v>
      </c>
      <c r="AB314" s="26">
        <f ca="1">IF(AB$4=OFFSET(Choices!$B$10,0,$C$1),0,AA$314)</f>
        <v>0</v>
      </c>
      <c r="AC314" s="26">
        <f ca="1">IF(AC$4=OFFSET(Choices!$B$10,0,$C$1),0,AB$314)</f>
        <v>0</v>
      </c>
      <c r="AD314" s="26"/>
      <c r="AE314" s="26"/>
    </row>
    <row r="315" spans="1:31" x14ac:dyDescent="0.2">
      <c r="A315" s="3" t="s">
        <v>554</v>
      </c>
      <c r="B315" s="4" t="str">
        <f t="shared" si="184"/>
        <v>From Fiscal Forecasts</v>
      </c>
      <c r="F315" s="21">
        <f>'Fiscal Forecasts'!F$276</f>
        <v>0</v>
      </c>
      <c r="G315" s="21">
        <f>'Fiscal Forecasts'!G$276</f>
        <v>0</v>
      </c>
      <c r="H315" s="21">
        <f>'Fiscal Forecasts'!H$276</f>
        <v>0</v>
      </c>
      <c r="I315" s="21">
        <f>'Fiscal Forecasts'!I$276</f>
        <v>0</v>
      </c>
      <c r="J315" s="21">
        <f>'Fiscal Forecasts'!J$276</f>
        <v>0</v>
      </c>
      <c r="K315" s="21">
        <f>'Fiscal Forecasts'!K$276</f>
        <v>0</v>
      </c>
      <c r="L315" s="21">
        <f>'Fiscal Forecasts'!L$276</f>
        <v>0</v>
      </c>
      <c r="M315" s="21">
        <f>'Fiscal Forecasts'!M$276</f>
        <v>0</v>
      </c>
      <c r="N315" s="21">
        <f>'Fiscal Forecasts'!N$276</f>
        <v>0</v>
      </c>
      <c r="O315" s="24">
        <f>'Fiscal Forecasts'!O$276</f>
        <v>0.10199999999999999</v>
      </c>
      <c r="P315" s="24">
        <f>'Fiscal Forecasts'!P$276</f>
        <v>0.34</v>
      </c>
      <c r="Q315" s="24">
        <f>'Fiscal Forecasts'!Q$276</f>
        <v>0.16800000000000001</v>
      </c>
      <c r="R315" s="24">
        <f>'Fiscal Forecasts'!R$276</f>
        <v>8.5000000000000006E-2</v>
      </c>
      <c r="S315" s="24">
        <f>'Fiscal Forecasts'!S$276</f>
        <v>1.2999999999999999E-2</v>
      </c>
      <c r="T315" s="26">
        <f ca="1">IF(T$4=OFFSET(Choices!$B$10,0,$C$1),0,S$315)</f>
        <v>0</v>
      </c>
      <c r="U315" s="26">
        <f ca="1">IF(U$4=OFFSET(Choices!$B$10,0,$C$1),0,T$315)</f>
        <v>0</v>
      </c>
      <c r="V315" s="26">
        <f ca="1">IF(V$4=OFFSET(Choices!$B$10,0,$C$1),0,U$315)</f>
        <v>0</v>
      </c>
      <c r="W315" s="26">
        <f ca="1">IF(W$4=OFFSET(Choices!$B$10,0,$C$1),0,V$315)</f>
        <v>0</v>
      </c>
      <c r="X315" s="26">
        <f ca="1">IF(X$4=OFFSET(Choices!$B$10,0,$C$1),0,W$315)</f>
        <v>0</v>
      </c>
      <c r="Y315" s="26">
        <f ca="1">IF(Y$4=OFFSET(Choices!$B$10,0,$C$1),0,X$315)</f>
        <v>0</v>
      </c>
      <c r="Z315" s="26">
        <f ca="1">IF(Z$4=OFFSET(Choices!$B$10,0,$C$1),0,Y$315)</f>
        <v>0</v>
      </c>
      <c r="AA315" s="26">
        <f ca="1">IF(AA$4=OFFSET(Choices!$B$10,0,$C$1),0,Z$315)</f>
        <v>0</v>
      </c>
      <c r="AB315" s="26">
        <f ca="1">IF(AB$4=OFFSET(Choices!$B$10,0,$C$1),0,AA$315)</f>
        <v>0</v>
      </c>
      <c r="AC315" s="26">
        <f ca="1">IF(AC$4=OFFSET(Choices!$B$10,0,$C$1),0,AB$315)</f>
        <v>0</v>
      </c>
      <c r="AD315" s="26"/>
      <c r="AE315" s="26"/>
    </row>
    <row r="316" spans="1:31" x14ac:dyDescent="0.2">
      <c r="A316" s="3" t="s">
        <v>555</v>
      </c>
      <c r="B316" s="4" t="str">
        <f t="shared" si="184"/>
        <v>From Fiscal Forecasts</v>
      </c>
      <c r="F316" s="21">
        <f>'Fiscal Forecasts'!F$277</f>
        <v>0</v>
      </c>
      <c r="G316" s="21">
        <f>'Fiscal Forecasts'!G$277</f>
        <v>0</v>
      </c>
      <c r="H316" s="21">
        <f>'Fiscal Forecasts'!H$277</f>
        <v>0</v>
      </c>
      <c r="I316" s="21">
        <f>'Fiscal Forecasts'!I$277</f>
        <v>0</v>
      </c>
      <c r="J316" s="21">
        <f>'Fiscal Forecasts'!J$277</f>
        <v>0</v>
      </c>
      <c r="K316" s="21">
        <f>'Fiscal Forecasts'!K$277</f>
        <v>0</v>
      </c>
      <c r="L316" s="21">
        <f>'Fiscal Forecasts'!L$277</f>
        <v>0</v>
      </c>
      <c r="M316" s="21">
        <f>'Fiscal Forecasts'!M$277</f>
        <v>0</v>
      </c>
      <c r="N316" s="21">
        <f>'Fiscal Forecasts'!N$277</f>
        <v>0</v>
      </c>
      <c r="O316" s="24">
        <f>'Fiscal Forecasts'!O$277</f>
        <v>0</v>
      </c>
      <c r="P316" s="24">
        <f>'Fiscal Forecasts'!P$277</f>
        <v>0.1</v>
      </c>
      <c r="Q316" s="24">
        <f>'Fiscal Forecasts'!Q$277</f>
        <v>0.3</v>
      </c>
      <c r="R316" s="24">
        <f>'Fiscal Forecasts'!R$277</f>
        <v>0.25</v>
      </c>
      <c r="S316" s="24">
        <f>'Fiscal Forecasts'!S$277</f>
        <v>0.25</v>
      </c>
      <c r="T316" s="26">
        <f ca="1">IF(T$4=OFFSET(Choices!$B$10,0,$C$1),0,S$316)</f>
        <v>0</v>
      </c>
      <c r="U316" s="26">
        <f ca="1">IF(U$4=OFFSET(Choices!$B$10,0,$C$1),0,T$316)</f>
        <v>0</v>
      </c>
      <c r="V316" s="26">
        <f ca="1">IF(V$4=OFFSET(Choices!$B$10,0,$C$1),0,U$316)</f>
        <v>0</v>
      </c>
      <c r="W316" s="26">
        <f ca="1">IF(W$4=OFFSET(Choices!$B$10,0,$C$1),0,V$316)</f>
        <v>0</v>
      </c>
      <c r="X316" s="26">
        <f ca="1">IF(X$4=OFFSET(Choices!$B$10,0,$C$1),0,W$316)</f>
        <v>0</v>
      </c>
      <c r="Y316" s="26">
        <f ca="1">IF(Y$4=OFFSET(Choices!$B$10,0,$C$1),0,X$316)</f>
        <v>0</v>
      </c>
      <c r="Z316" s="26">
        <f ca="1">IF(Z$4=OFFSET(Choices!$B$10,0,$C$1),0,Y$316)</f>
        <v>0</v>
      </c>
      <c r="AA316" s="26">
        <f ca="1">IF(AA$4=OFFSET(Choices!$B$10,0,$C$1),0,Z$316)</f>
        <v>0</v>
      </c>
      <c r="AB316" s="26">
        <f ca="1">IF(AB$4=OFFSET(Choices!$B$10,0,$C$1),0,AA$316)</f>
        <v>0</v>
      </c>
      <c r="AC316" s="26">
        <f ca="1">IF(AC$4=OFFSET(Choices!$B$10,0,$C$1),0,AB$316)</f>
        <v>0</v>
      </c>
      <c r="AD316" s="26"/>
      <c r="AE316" s="26"/>
    </row>
    <row r="317" spans="1:31" x14ac:dyDescent="0.2">
      <c r="A317" s="3" t="s">
        <v>556</v>
      </c>
      <c r="B317" s="4" t="str">
        <f t="shared" si="184"/>
        <v>From Fiscal Forecasts</v>
      </c>
      <c r="F317" s="21">
        <f>'Fiscal Forecasts'!F$278</f>
        <v>0</v>
      </c>
      <c r="G317" s="21">
        <f>'Fiscal Forecasts'!G$278</f>
        <v>0</v>
      </c>
      <c r="H317" s="21">
        <f>'Fiscal Forecasts'!H$278</f>
        <v>0</v>
      </c>
      <c r="I317" s="21">
        <f>'Fiscal Forecasts'!I$278</f>
        <v>0</v>
      </c>
      <c r="J317" s="21">
        <f>'Fiscal Forecasts'!J$278</f>
        <v>0</v>
      </c>
      <c r="K317" s="21">
        <f>'Fiscal Forecasts'!K$278</f>
        <v>0</v>
      </c>
      <c r="L317" s="21">
        <f>'Fiscal Forecasts'!L$278</f>
        <v>0</v>
      </c>
      <c r="M317" s="21">
        <f>'Fiscal Forecasts'!M$278</f>
        <v>0</v>
      </c>
      <c r="N317" s="21">
        <f>'Fiscal Forecasts'!N$278</f>
        <v>0</v>
      </c>
      <c r="O317" s="24">
        <f>'Fiscal Forecasts'!O$278</f>
        <v>0</v>
      </c>
      <c r="P317" s="24">
        <f>'Fiscal Forecasts'!P$278</f>
        <v>0</v>
      </c>
      <c r="Q317" s="24">
        <f>'Fiscal Forecasts'!Q$278</f>
        <v>0.1</v>
      </c>
      <c r="R317" s="24">
        <f>'Fiscal Forecasts'!R$278</f>
        <v>0.3</v>
      </c>
      <c r="S317" s="24">
        <f>'Fiscal Forecasts'!S$278</f>
        <v>0.25</v>
      </c>
      <c r="T317" s="26">
        <f ca="1">IF(T$4=OFFSET(Choices!$B$10,0,$C$1),OFFSET(T$322,0,-3)-SUM(OFFSET(T$317,0,-5,1,5)),0)</f>
        <v>0.26800000000000002</v>
      </c>
      <c r="U317" s="26">
        <f ca="1">IF(U$4=OFFSET(Choices!$B$10,0,$C$1),OFFSET(U$322,0,-3)-SUM(OFFSET(U$317,0,-5,1,5)),0)</f>
        <v>0</v>
      </c>
      <c r="V317" s="26">
        <f ca="1">IF(V$4=OFFSET(Choices!$B$10,0,$C$1),OFFSET(V$322,0,-3)-SUM(OFFSET(V$317,0,-5,1,5)),0)</f>
        <v>0</v>
      </c>
      <c r="W317" s="26">
        <f ca="1">IF(W$4=OFFSET(Choices!$B$10,0,$C$1),OFFSET(W$322,0,-3)-SUM(OFFSET(W$317,0,-5,1,5)),0)</f>
        <v>0</v>
      </c>
      <c r="X317" s="26">
        <f ca="1">IF(X$4=OFFSET(Choices!$B$10,0,$C$1),OFFSET(X$322,0,-3)-SUM(OFFSET(X$317,0,-5,1,5)),0)</f>
        <v>0</v>
      </c>
      <c r="Y317" s="26">
        <f ca="1">IF(Y$4=OFFSET(Choices!$B$10,0,$C$1),OFFSET(Y$322,0,-3)-SUM(OFFSET(Y$317,0,-5,1,5)),0)</f>
        <v>0</v>
      </c>
      <c r="Z317" s="26">
        <f ca="1">IF(Z$4=OFFSET(Choices!$B$10,0,$C$1),OFFSET(Z$322,0,-3)-SUM(OFFSET(Z$317,0,-5,1,5)),0)</f>
        <v>0</v>
      </c>
      <c r="AA317" s="26">
        <f ca="1">IF(AA$4=OFFSET(Choices!$B$10,0,$C$1),OFFSET(AA$322,0,-3)-SUM(OFFSET(AA$317,0,-5,1,5)),0)</f>
        <v>0</v>
      </c>
      <c r="AB317" s="26">
        <f ca="1">IF(AB$4=OFFSET(Choices!$B$10,0,$C$1),OFFSET(AB$322,0,-3)-SUM(OFFSET(AB$317,0,-5,1,5)),0)</f>
        <v>0</v>
      </c>
      <c r="AC317" s="26">
        <f ca="1">IF(AC$4=OFFSET(Choices!$B$10,0,$C$1),OFFSET(AC$322,0,-3)-SUM(OFFSET(AC$317,0,-5,1,5)),0)</f>
        <v>0</v>
      </c>
      <c r="AD317" s="26"/>
      <c r="AE317" s="26"/>
    </row>
    <row r="318" spans="1:31" x14ac:dyDescent="0.2">
      <c r="A318" s="3" t="s">
        <v>557</v>
      </c>
      <c r="B318" s="4" t="str">
        <f t="shared" si="184"/>
        <v>From Fiscal Forecasts</v>
      </c>
      <c r="F318" s="21">
        <f>'Fiscal Forecasts'!F$279</f>
        <v>0</v>
      </c>
      <c r="G318" s="21">
        <f>'Fiscal Forecasts'!G$279</f>
        <v>0</v>
      </c>
      <c r="H318" s="21">
        <f>'Fiscal Forecasts'!H$279</f>
        <v>0</v>
      </c>
      <c r="I318" s="21">
        <f>'Fiscal Forecasts'!I$279</f>
        <v>0</v>
      </c>
      <c r="J318" s="21">
        <f>'Fiscal Forecasts'!J$279</f>
        <v>0</v>
      </c>
      <c r="K318" s="21">
        <f>'Fiscal Forecasts'!K$279</f>
        <v>0</v>
      </c>
      <c r="L318" s="21">
        <f>'Fiscal Forecasts'!L$279</f>
        <v>0</v>
      </c>
      <c r="M318" s="21">
        <f>'Fiscal Forecasts'!M$279</f>
        <v>0</v>
      </c>
      <c r="N318" s="21">
        <f>'Fiscal Forecasts'!N$279</f>
        <v>0</v>
      </c>
      <c r="O318" s="24">
        <f>'Fiscal Forecasts'!O$279</f>
        <v>0</v>
      </c>
      <c r="P318" s="24">
        <f>'Fiscal Forecasts'!P$279</f>
        <v>0</v>
      </c>
      <c r="Q318" s="24">
        <f>'Fiscal Forecasts'!Q$279</f>
        <v>0</v>
      </c>
      <c r="R318" s="24">
        <f>'Fiscal Forecasts'!R$279</f>
        <v>0.1</v>
      </c>
      <c r="S318" s="24">
        <f>'Fiscal Forecasts'!S$279</f>
        <v>0.3</v>
      </c>
      <c r="T318" s="26">
        <f ca="1">IF(T$4=OFFSET(Choices!$B$10,0,$C$1),(OFFSET(T$322,0,-2)-SUM(OFFSET(T$318,0,-5,1,5)))/2,IF(S$4=OFFSET(Choices!$B$10,0,$C$1),S$318,0))</f>
        <v>0.26800000000000002</v>
      </c>
      <c r="U318" s="26">
        <f ca="1">IF(U$4=OFFSET(Choices!$B$10,0,$C$1),(OFFSET(U$322,0,-2)-SUM(OFFSET(U$318,0,-5,1,5)))/2,IF(T$4=OFFSET(Choices!$B$10,0,$C$1),T$318,0))</f>
        <v>0.26800000000000002</v>
      </c>
      <c r="V318" s="26">
        <f ca="1">IF(V$4=OFFSET(Choices!$B$10,0,$C$1),(OFFSET(V$322,0,-2)-SUM(OFFSET(V$318,0,-5,1,5)))/2,IF(U$4=OFFSET(Choices!$B$10,0,$C$1),U$318,0))</f>
        <v>0</v>
      </c>
      <c r="W318" s="26">
        <f ca="1">IF(W$4=OFFSET(Choices!$B$10,0,$C$1),(OFFSET(W$322,0,-2)-SUM(OFFSET(W$318,0,-5,1,5)))/2,IF(V$4=OFFSET(Choices!$B$10,0,$C$1),V$318,0))</f>
        <v>0</v>
      </c>
      <c r="X318" s="26">
        <f ca="1">IF(X$4=OFFSET(Choices!$B$10,0,$C$1),(OFFSET(X$322,0,-2)-SUM(OFFSET(X$318,0,-5,1,5)))/2,IF(W$4=OFFSET(Choices!$B$10,0,$C$1),W$318,0))</f>
        <v>0</v>
      </c>
      <c r="Y318" s="26">
        <f ca="1">IF(Y$4=OFFSET(Choices!$B$10,0,$C$1),(OFFSET(Y$322,0,-2)-SUM(OFFSET(Y$318,0,-5,1,5)))/2,IF(X$4=OFFSET(Choices!$B$10,0,$C$1),X$318,0))</f>
        <v>0</v>
      </c>
      <c r="Z318" s="26">
        <f ca="1">IF(Z$4=OFFSET(Choices!$B$10,0,$C$1),(OFFSET(Z$322,0,-2)-SUM(OFFSET(Z$318,0,-5,1,5)))/2,IF(Y$4=OFFSET(Choices!$B$10,0,$C$1),Y$318,0))</f>
        <v>0</v>
      </c>
      <c r="AA318" s="26">
        <f ca="1">IF(AA$4=OFFSET(Choices!$B$10,0,$C$1),(OFFSET(AA$322,0,-2)-SUM(OFFSET(AA$318,0,-5,1,5)))/2,IF(Z$4=OFFSET(Choices!$B$10,0,$C$1),Z$318,0))</f>
        <v>0</v>
      </c>
      <c r="AB318" s="26">
        <f ca="1">IF(AB$4=OFFSET(Choices!$B$10,0,$C$1),(OFFSET(AB$322,0,-2)-SUM(OFFSET(AB$318,0,-5,1,5)))/2,IF(AA$4=OFFSET(Choices!$B$10,0,$C$1),AA$318,0))</f>
        <v>0</v>
      </c>
      <c r="AC318" s="26">
        <f ca="1">IF(AC$4=OFFSET(Choices!$B$10,0,$C$1),(OFFSET(AC$322,0,-2)-SUM(OFFSET(AC$318,0,-5,1,5)))/2,IF(AB$4=OFFSET(Choices!$B$10,0,$C$1),AB$318,0))</f>
        <v>0</v>
      </c>
      <c r="AD318" s="26"/>
      <c r="AE318" s="26"/>
    </row>
    <row r="319" spans="1:31" x14ac:dyDescent="0.2">
      <c r="A319" s="3" t="s">
        <v>558</v>
      </c>
      <c r="B319" s="4" t="str">
        <f t="shared" si="184"/>
        <v>From Fiscal Forecasts</v>
      </c>
      <c r="F319" s="21">
        <f>'Fiscal Forecasts'!F$280</f>
        <v>0</v>
      </c>
      <c r="G319" s="21">
        <f>'Fiscal Forecasts'!G$280</f>
        <v>0</v>
      </c>
      <c r="H319" s="21">
        <f>'Fiscal Forecasts'!H$280</f>
        <v>0</v>
      </c>
      <c r="I319" s="21">
        <f>'Fiscal Forecasts'!I$280</f>
        <v>0</v>
      </c>
      <c r="J319" s="21">
        <f>'Fiscal Forecasts'!J$280</f>
        <v>0</v>
      </c>
      <c r="K319" s="21">
        <f>'Fiscal Forecasts'!K$280</f>
        <v>0</v>
      </c>
      <c r="L319" s="21">
        <f>'Fiscal Forecasts'!L$280</f>
        <v>0</v>
      </c>
      <c r="M319" s="21">
        <f>'Fiscal Forecasts'!M$280</f>
        <v>0</v>
      </c>
      <c r="N319" s="21">
        <f>'Fiscal Forecasts'!N$280</f>
        <v>0</v>
      </c>
      <c r="O319" s="24">
        <f>'Fiscal Forecasts'!O$280</f>
        <v>0</v>
      </c>
      <c r="P319" s="24">
        <f>'Fiscal Forecasts'!P$280</f>
        <v>0</v>
      </c>
      <c r="Q319" s="24">
        <f>'Fiscal Forecasts'!Q$280</f>
        <v>0</v>
      </c>
      <c r="R319" s="24">
        <f>'Fiscal Forecasts'!R$280</f>
        <v>0</v>
      </c>
      <c r="S319" s="24">
        <f>'Fiscal Forecasts'!S$280</f>
        <v>0.1</v>
      </c>
      <c r="T319" s="26">
        <f ca="1">IF(T$4=OFFSET(Choices!$B$10,0,$C$1),(OFFSET(T$322,0,-1)-SUM(OFFSET(T$319,0,-5,1,5)))/3,IF(OR(S$4=OFFSET(Choices!$B$10,0,$C$1),R$4=OFFSET(Choices!$B$10,0,$C$1)),S$319,0))</f>
        <v>0.28499999999999998</v>
      </c>
      <c r="U319" s="26">
        <f ca="1">IF(U$4=OFFSET(Choices!$B$10,0,$C$1),(OFFSET(U$322,0,-1)-SUM(OFFSET(U$319,0,-5,1,5)))/3,IF(OR(T$4=OFFSET(Choices!$B$10,0,$C$1),S$4=OFFSET(Choices!$B$10,0,$C$1)),T$319,0))</f>
        <v>0.28499999999999998</v>
      </c>
      <c r="V319" s="26">
        <f ca="1">IF(V$4=OFFSET(Choices!$B$10,0,$C$1),(OFFSET(V$322,0,-1)-SUM(OFFSET(V$319,0,-5,1,5)))/3,IF(OR(U$4=OFFSET(Choices!$B$10,0,$C$1),T$4=OFFSET(Choices!$B$10,0,$C$1)),U$319,0))</f>
        <v>0.28499999999999998</v>
      </c>
      <c r="W319" s="26">
        <f ca="1">IF(W$4=OFFSET(Choices!$B$10,0,$C$1),(OFFSET(W$322,0,-1)-SUM(OFFSET(W$319,0,-5,1,5)))/3,IF(OR(V$4=OFFSET(Choices!$B$10,0,$C$1),U$4=OFFSET(Choices!$B$10,0,$C$1)),V$319,0))</f>
        <v>0</v>
      </c>
      <c r="X319" s="26">
        <f ca="1">IF(X$4=OFFSET(Choices!$B$10,0,$C$1),(OFFSET(X$322,0,-1)-SUM(OFFSET(X$319,0,-5,1,5)))/3,IF(OR(W$4=OFFSET(Choices!$B$10,0,$C$1),V$4=OFFSET(Choices!$B$10,0,$C$1)),W$319,0))</f>
        <v>0</v>
      </c>
      <c r="Y319" s="26">
        <f ca="1">IF(Y$4=OFFSET(Choices!$B$10,0,$C$1),(OFFSET(Y$322,0,-1)-SUM(OFFSET(Y$319,0,-5,1,5)))/3,IF(OR(X$4=OFFSET(Choices!$B$10,0,$C$1),W$4=OFFSET(Choices!$B$10,0,$C$1)),X$319,0))</f>
        <v>0</v>
      </c>
      <c r="Z319" s="26">
        <f ca="1">IF(Z$4=OFFSET(Choices!$B$10,0,$C$1),(OFFSET(Z$322,0,-1)-SUM(OFFSET(Z$319,0,-5,1,5)))/3,IF(OR(Y$4=OFFSET(Choices!$B$10,0,$C$1),X$4=OFFSET(Choices!$B$10,0,$C$1)),Y$319,0))</f>
        <v>0</v>
      </c>
      <c r="AA319" s="26">
        <f ca="1">IF(AA$4=OFFSET(Choices!$B$10,0,$C$1),(OFFSET(AA$322,0,-1)-SUM(OFFSET(AA$319,0,-5,1,5)))/3,IF(OR(Z$4=OFFSET(Choices!$B$10,0,$C$1),Y$4=OFFSET(Choices!$B$10,0,$C$1)),Z$319,0))</f>
        <v>0</v>
      </c>
      <c r="AB319" s="26">
        <f ca="1">IF(AB$4=OFFSET(Choices!$B$10,0,$C$1),(OFFSET(AB$322,0,-1)-SUM(OFFSET(AB$319,0,-5,1,5)))/3,IF(OR(AA$4=OFFSET(Choices!$B$10,0,$C$1),Z$4=OFFSET(Choices!$B$10,0,$C$1)),AA$319,0))</f>
        <v>0</v>
      </c>
      <c r="AC319" s="26">
        <f ca="1">IF(AC$4=OFFSET(Choices!$B$10,0,$C$1),(OFFSET(AC$322,0,-1)-SUM(OFFSET(AC$319,0,-5,1,5)))/3,IF(OR(AB$4=OFFSET(Choices!$B$10,0,$C$1),AA$4=OFFSET(Choices!$B$10,0,$C$1)),AB$319,0))</f>
        <v>0</v>
      </c>
      <c r="AD319" s="26"/>
      <c r="AE319" s="26"/>
    </row>
    <row r="320" spans="1:31" x14ac:dyDescent="0.2">
      <c r="A320" s="3" t="s">
        <v>559</v>
      </c>
      <c r="B320" s="4"/>
      <c r="E320" s="61">
        <f>0</f>
        <v>0</v>
      </c>
      <c r="F320" s="21">
        <f>E$320</f>
        <v>0</v>
      </c>
      <c r="G320" s="21">
        <f t="shared" ref="G320:N320" si="185">F$320</f>
        <v>0</v>
      </c>
      <c r="H320" s="21">
        <f t="shared" si="185"/>
        <v>0</v>
      </c>
      <c r="I320" s="21">
        <f t="shared" si="185"/>
        <v>0</v>
      </c>
      <c r="J320" s="21">
        <f t="shared" si="185"/>
        <v>0</v>
      </c>
      <c r="K320" s="21">
        <f t="shared" si="185"/>
        <v>0</v>
      </c>
      <c r="L320" s="21">
        <f t="shared" si="185"/>
        <v>0</v>
      </c>
      <c r="M320" s="21">
        <f t="shared" si="185"/>
        <v>0</v>
      </c>
      <c r="N320" s="21">
        <f t="shared" si="185"/>
        <v>0</v>
      </c>
      <c r="O320" s="24">
        <f>N$320</f>
        <v>0</v>
      </c>
      <c r="P320" s="24">
        <f>O$320</f>
        <v>0</v>
      </c>
      <c r="Q320" s="24">
        <f>P$320</f>
        <v>0</v>
      </c>
      <c r="R320" s="24">
        <f>Q$320</f>
        <v>0</v>
      </c>
      <c r="S320" s="24">
        <f>R$320</f>
        <v>0</v>
      </c>
      <c r="T320" s="26">
        <f ca="1">IF(T$4=OFFSET(Choices!$B$10,0,$C$1),T$322,IF(S$4=OFFSET(Choices!$B$10,0,$C$1),SUM(S$322:T$322),IF(R$4=OFFSET(Choices!$B$10,0,$C$1),SUM(R$322:T$322),SUM(Q$322:T$322))))/4</f>
        <v>0.24349999999999999</v>
      </c>
      <c r="U320" s="26">
        <f ca="1">IF(U$4=OFFSET(Choices!$B$10,0,$C$1),U$322,IF(T$4=OFFSET(Choices!$B$10,0,$C$1),SUM(T$322:U$322),IF(S$4=OFFSET(Choices!$B$10,0,$C$1),SUM(S$322:U$322),SUM(R$322:U$322))))/4</f>
        <v>0.49187000000000003</v>
      </c>
      <c r="V320" s="26">
        <f ca="1">IF(V$4=OFFSET(Choices!$B$10,0,$C$1),V$322,IF(U$4=OFFSET(Choices!$B$10,0,$C$1),SUM(U$322:V$322),IF(T$4=OFFSET(Choices!$B$10,0,$C$1),SUM(T$322:V$322),SUM(S$322:V$322))))/4</f>
        <v>0.74520739999999996</v>
      </c>
      <c r="W320" s="26">
        <f ca="1">IF(W$4=OFFSET(Choices!$B$10,0,$C$1),W$322,IF(V$4=OFFSET(Choices!$B$10,0,$C$1),SUM(V$322:W$322),IF(U$4=OFFSET(Choices!$B$10,0,$C$1),SUM(U$322:W$322),SUM(T$322:W$322))))/4</f>
        <v>1.0036115479999999</v>
      </c>
      <c r="X320" s="26">
        <f ca="1">IF(X$4=OFFSET(Choices!$B$10,0,$C$1),X$322,IF(W$4=OFFSET(Choices!$B$10,0,$C$1),SUM(W$322:X$322),IF(V$4=OFFSET(Choices!$B$10,0,$C$1),SUM(V$322:X$322),SUM(U$322:X$322))))/4</f>
        <v>1.02368377896</v>
      </c>
      <c r="Y320" s="26">
        <f ca="1">IF(Y$4=OFFSET(Choices!$B$10,0,$C$1),Y$322,IF(X$4=OFFSET(Choices!$B$10,0,$C$1),SUM(X$322:Y$322),IF(W$4=OFFSET(Choices!$B$10,0,$C$1),SUM(W$322:Y$322),SUM(V$322:Y$322))))/4</f>
        <v>1.0441574545391998</v>
      </c>
      <c r="Z320" s="26">
        <f ca="1">IF(Z$4=OFFSET(Choices!$B$10,0,$C$1),Z$322,IF(Y$4=OFFSET(Choices!$B$10,0,$C$1),SUM(Y$322:Z$322),IF(X$4=OFFSET(Choices!$B$10,0,$C$1),SUM(X$322:Z$322),SUM(W$322:Z$322))))/4</f>
        <v>1.065040603629984</v>
      </c>
      <c r="AA320" s="26">
        <f ca="1">IF(AA$4=OFFSET(Choices!$B$10,0,$C$1),AA$322,IF(Z$4=OFFSET(Choices!$B$10,0,$C$1),SUM(Z$322:AA$322),IF(Y$4=OFFSET(Choices!$B$10,0,$C$1),SUM(Y$322:AA$322),SUM(X$322:AA$322))))/4</f>
        <v>1.0863414157025837</v>
      </c>
      <c r="AB320" s="26">
        <f ca="1">IF(AB$4=OFFSET(Choices!$B$10,0,$C$1),AB$322,IF(AA$4=OFFSET(Choices!$B$10,0,$C$1),SUM(AA$322:AB$322),IF(Z$4=OFFSET(Choices!$B$10,0,$C$1),SUM(Z$322:AB$322),SUM(Y$322:AB$322))))/4</f>
        <v>1.1080682440166352</v>
      </c>
      <c r="AC320" s="26">
        <f ca="1">IF(AC$4=OFFSET(Choices!$B$10,0,$C$1),AC$322,IF(AB$4=OFFSET(Choices!$B$10,0,$C$1),SUM(AB$322:AC$322),IF(AA$4=OFFSET(Choices!$B$10,0,$C$1),SUM(AA$322:AC$322),SUM(Z$322:AC$322))))/4</f>
        <v>1.1302296088969679</v>
      </c>
      <c r="AD320" s="26"/>
      <c r="AE320" s="26"/>
    </row>
    <row r="321" spans="1:31" x14ac:dyDescent="0.2">
      <c r="A321" s="31" t="s">
        <v>572</v>
      </c>
      <c r="B321" s="4"/>
      <c r="F321" s="23">
        <f>SUM(F$314:F$320)</f>
        <v>0</v>
      </c>
      <c r="G321" s="23">
        <f t="shared" ref="G321:AC321" si="186">SUM(G$314:G$320)</f>
        <v>0</v>
      </c>
      <c r="H321" s="23">
        <f t="shared" si="186"/>
        <v>0</v>
      </c>
      <c r="I321" s="23">
        <f t="shared" si="186"/>
        <v>0</v>
      </c>
      <c r="J321" s="23">
        <f t="shared" si="186"/>
        <v>0</v>
      </c>
      <c r="K321" s="23">
        <f t="shared" si="186"/>
        <v>0</v>
      </c>
      <c r="L321" s="23">
        <f t="shared" si="186"/>
        <v>0</v>
      </c>
      <c r="M321" s="23">
        <f t="shared" si="186"/>
        <v>0</v>
      </c>
      <c r="N321" s="23">
        <f t="shared" si="186"/>
        <v>0</v>
      </c>
      <c r="O321" s="25">
        <f t="shared" si="186"/>
        <v>0.45099999999999996</v>
      </c>
      <c r="P321" s="25">
        <f t="shared" si="186"/>
        <v>0.79599999999999993</v>
      </c>
      <c r="Q321" s="25">
        <f t="shared" si="186"/>
        <v>0.66600000000000004</v>
      </c>
      <c r="R321" s="25">
        <f t="shared" si="186"/>
        <v>0.73499999999999999</v>
      </c>
      <c r="S321" s="25">
        <f t="shared" si="186"/>
        <v>0.91299999999999992</v>
      </c>
      <c r="T321" s="69">
        <f t="shared" ca="1" si="186"/>
        <v>1.0645</v>
      </c>
      <c r="U321" s="69">
        <f t="shared" ca="1" si="186"/>
        <v>1.04487</v>
      </c>
      <c r="V321" s="69">
        <f t="shared" ca="1" si="186"/>
        <v>1.0302073999999999</v>
      </c>
      <c r="W321" s="69">
        <f t="shared" ca="1" si="186"/>
        <v>1.0036115479999999</v>
      </c>
      <c r="X321" s="69">
        <f t="shared" ca="1" si="186"/>
        <v>1.02368377896</v>
      </c>
      <c r="Y321" s="69">
        <f t="shared" ca="1" si="186"/>
        <v>1.0441574545391998</v>
      </c>
      <c r="Z321" s="69">
        <f t="shared" ca="1" si="186"/>
        <v>1.065040603629984</v>
      </c>
      <c r="AA321" s="69">
        <f t="shared" ca="1" si="186"/>
        <v>1.0863414157025837</v>
      </c>
      <c r="AB321" s="69">
        <f t="shared" ca="1" si="186"/>
        <v>1.1080682440166352</v>
      </c>
      <c r="AC321" s="69">
        <f t="shared" ca="1" si="186"/>
        <v>1.1302296088969679</v>
      </c>
      <c r="AD321" s="26"/>
      <c r="AE321" s="26"/>
    </row>
    <row r="322" spans="1:31" x14ac:dyDescent="0.2">
      <c r="A322" s="31" t="s">
        <v>909</v>
      </c>
      <c r="B322" s="4" t="str">
        <f>$B$46</f>
        <v>From Fiscal Forecasts</v>
      </c>
      <c r="F322" s="21">
        <f>'Fiscal Forecasts'!F$282</f>
        <v>0</v>
      </c>
      <c r="G322" s="21">
        <f>'Fiscal Forecasts'!G$282</f>
        <v>0</v>
      </c>
      <c r="H322" s="21">
        <f>'Fiscal Forecasts'!H$282</f>
        <v>0</v>
      </c>
      <c r="I322" s="21">
        <f>'Fiscal Forecasts'!I$282</f>
        <v>0</v>
      </c>
      <c r="J322" s="21">
        <f>'Fiscal Forecasts'!J$282</f>
        <v>0</v>
      </c>
      <c r="K322" s="21">
        <f>'Fiscal Forecasts'!K$282</f>
        <v>0</v>
      </c>
      <c r="L322" s="21">
        <f>'Fiscal Forecasts'!L$282</f>
        <v>0</v>
      </c>
      <c r="M322" s="21">
        <f>'Fiscal Forecasts'!M$282</f>
        <v>0</v>
      </c>
      <c r="N322" s="21">
        <f>'Fiscal Forecasts'!N$282</f>
        <v>0</v>
      </c>
      <c r="O322" s="24">
        <f>'Fiscal Forecasts'!O$282</f>
        <v>0.70799999999999996</v>
      </c>
      <c r="P322" s="24">
        <f>'Fiscal Forecasts'!P$282</f>
        <v>0.9</v>
      </c>
      <c r="Q322" s="24">
        <f>'Fiscal Forecasts'!Q$282</f>
        <v>0.91800000000000004</v>
      </c>
      <c r="R322" s="24">
        <f>'Fiscal Forecasts'!R$282</f>
        <v>0.93600000000000005</v>
      </c>
      <c r="S322" s="24">
        <f>'Fiscal Forecasts'!S$282</f>
        <v>0.95499999999999996</v>
      </c>
      <c r="T322" s="26">
        <f ca="1">IF(T$4=OFFSET(Choices!$B$10,0,$C$1),OFFSET(Choices!$B$54,0,$C$1),S$322*(1+OFFSET(Choices!$B$56,0,$C$1)))</f>
        <v>0.97399999999999998</v>
      </c>
      <c r="U322" s="26">
        <f ca="1">IF(U$4=OFFSET(Choices!$B$10,0,$C$1),OFFSET(Choices!$B$54,0,$C$1),T$322*(1+OFFSET(Choices!$B$56,0,$C$1)))</f>
        <v>0.99348000000000003</v>
      </c>
      <c r="V322" s="26">
        <f ca="1">IF(V$4=OFFSET(Choices!$B$10,0,$C$1),OFFSET(Choices!$B$54,0,$C$1),U$322*(1+OFFSET(Choices!$B$56,0,$C$1)))</f>
        <v>1.0133496</v>
      </c>
      <c r="W322" s="26">
        <f ca="1">IF(W$4=OFFSET(Choices!$B$10,0,$C$1),OFFSET(Choices!$B$54,0,$C$1),V$322*(1+OFFSET(Choices!$B$56,0,$C$1)))</f>
        <v>1.033616592</v>
      </c>
      <c r="X322" s="26">
        <f ca="1">IF(X$4=OFFSET(Choices!$B$10,0,$C$1),OFFSET(Choices!$B$54,0,$C$1),W$322*(1+OFFSET(Choices!$B$56,0,$C$1)))</f>
        <v>1.0542889238399999</v>
      </c>
      <c r="Y322" s="26">
        <f ca="1">IF(Y$4=OFFSET(Choices!$B$10,0,$C$1),OFFSET(Choices!$B$54,0,$C$1),X$322*(1+OFFSET(Choices!$B$56,0,$C$1)))</f>
        <v>1.0753747023167999</v>
      </c>
      <c r="Z322" s="26">
        <f ca="1">IF(Z$4=OFFSET(Choices!$B$10,0,$C$1),OFFSET(Choices!$B$54,0,$C$1),Y$322*(1+OFFSET(Choices!$B$56,0,$C$1)))</f>
        <v>1.0968821963631359</v>
      </c>
      <c r="AA322" s="26">
        <f ca="1">IF(AA$4=OFFSET(Choices!$B$10,0,$C$1),OFFSET(Choices!$B$54,0,$C$1),Z$322*(1+OFFSET(Choices!$B$56,0,$C$1)))</f>
        <v>1.1188198402903986</v>
      </c>
      <c r="AB322" s="26">
        <f ca="1">IF(AB$4=OFFSET(Choices!$B$10,0,$C$1),OFFSET(Choices!$B$54,0,$C$1),AA$322*(1+OFFSET(Choices!$B$56,0,$C$1)))</f>
        <v>1.1411962370962065</v>
      </c>
      <c r="AC322" s="26">
        <f ca="1">IF(AC$4=OFFSET(Choices!$B$10,0,$C$1),OFFSET(Choices!$B$54,0,$C$1),AB$322*(1+OFFSET(Choices!$B$56,0,$C$1)))</f>
        <v>1.1640201618381307</v>
      </c>
      <c r="AD322" s="26"/>
      <c r="AE322" s="26"/>
    </row>
    <row r="323" spans="1:31" x14ac:dyDescent="0.2">
      <c r="A323" s="31" t="s">
        <v>560</v>
      </c>
      <c r="B323" s="4" t="str">
        <f>$B$46</f>
        <v>From Fiscal Forecasts</v>
      </c>
      <c r="F323" s="23">
        <f>'Fiscal Forecasts'!F$123</f>
        <v>0</v>
      </c>
      <c r="G323" s="23">
        <f>'Fiscal Forecasts'!G$123</f>
        <v>0</v>
      </c>
      <c r="H323" s="23">
        <f>'Fiscal Forecasts'!H$123</f>
        <v>0</v>
      </c>
      <c r="I323" s="23">
        <f>'Fiscal Forecasts'!I$123</f>
        <v>0</v>
      </c>
      <c r="J323" s="23">
        <f>'Fiscal Forecasts'!J$123</f>
        <v>0</v>
      </c>
      <c r="K323" s="23">
        <f>'Fiscal Forecasts'!K$123</f>
        <v>0</v>
      </c>
      <c r="L323" s="23">
        <f>'Fiscal Forecasts'!L$123</f>
        <v>0</v>
      </c>
      <c r="M323" s="23">
        <f>'Fiscal Forecasts'!M$123</f>
        <v>0</v>
      </c>
      <c r="N323" s="23">
        <f>'Fiscal Forecasts'!N$123</f>
        <v>0</v>
      </c>
      <c r="O323" s="25">
        <f>'Fiscal Forecasts'!O$123</f>
        <v>0.45100000000000001</v>
      </c>
      <c r="P323" s="25">
        <f>'Fiscal Forecasts'!P$123</f>
        <v>1.2470000000000001</v>
      </c>
      <c r="Q323" s="25">
        <f>'Fiscal Forecasts'!Q$123</f>
        <v>1.913</v>
      </c>
      <c r="R323" s="25">
        <f>'Fiscal Forecasts'!R$123</f>
        <v>2.6480000000000001</v>
      </c>
      <c r="S323" s="25">
        <f>'Fiscal Forecasts'!S$123</f>
        <v>3.5609999999999999</v>
      </c>
      <c r="T323" s="11">
        <f ca="1">SUM($F$321:T$321)</f>
        <v>4.6254999999999997</v>
      </c>
      <c r="U323" s="11">
        <f ca="1">SUM($F$321:U$321)</f>
        <v>5.6703700000000001</v>
      </c>
      <c r="V323" s="11">
        <f ca="1">SUM($F$321:V$321)</f>
        <v>6.7005774000000002</v>
      </c>
      <c r="W323" s="11">
        <f ca="1">SUM($F$321:W$321)</f>
        <v>7.7041889480000005</v>
      </c>
      <c r="X323" s="11">
        <f ca="1">SUM($F$321:X$321)</f>
        <v>8.7278727269600012</v>
      </c>
      <c r="Y323" s="11">
        <f ca="1">SUM($F$321:Y$321)</f>
        <v>9.7720301814992006</v>
      </c>
      <c r="Z323" s="11">
        <f ca="1">SUM($F$321:Z$321)</f>
        <v>10.837070785129185</v>
      </c>
      <c r="AA323" s="11">
        <f ca="1">SUM($F$321:AA$321)</f>
        <v>11.92341220083177</v>
      </c>
      <c r="AB323" s="11">
        <f ca="1">SUM($F$321:AB$321)</f>
        <v>13.031480444848405</v>
      </c>
      <c r="AC323" s="11">
        <f ca="1">SUM($F$321:AC$321)</f>
        <v>14.161710053745374</v>
      </c>
      <c r="AD323" s="26"/>
      <c r="AE323" s="26"/>
    </row>
    <row r="324" spans="1:31" x14ac:dyDescent="0.2">
      <c r="A324" s="31" t="s">
        <v>561</v>
      </c>
      <c r="B324" s="4" t="str">
        <f>$B$46</f>
        <v>From Fiscal Forecasts</v>
      </c>
      <c r="F324" s="23">
        <f>'Fiscal Forecasts'!F$124</f>
        <v>0</v>
      </c>
      <c r="G324" s="23">
        <f>'Fiscal Forecasts'!G$124</f>
        <v>0</v>
      </c>
      <c r="H324" s="23">
        <f>'Fiscal Forecasts'!H$124</f>
        <v>0</v>
      </c>
      <c r="I324" s="23">
        <f>'Fiscal Forecasts'!I$124</f>
        <v>0</v>
      </c>
      <c r="J324" s="23">
        <f>'Fiscal Forecasts'!J$124</f>
        <v>0</v>
      </c>
      <c r="K324" s="23">
        <f>'Fiscal Forecasts'!K$124</f>
        <v>0</v>
      </c>
      <c r="L324" s="23">
        <f>'Fiscal Forecasts'!L$124</f>
        <v>0</v>
      </c>
      <c r="M324" s="23">
        <f>'Fiscal Forecasts'!M$124</f>
        <v>0</v>
      </c>
      <c r="N324" s="23">
        <f>'Fiscal Forecasts'!N$124</f>
        <v>0</v>
      </c>
      <c r="O324" s="25">
        <f>'Fiscal Forecasts'!O$124</f>
        <v>-0.55500000000000005</v>
      </c>
      <c r="P324" s="25">
        <f>'Fiscal Forecasts'!P$124</f>
        <v>-0.63</v>
      </c>
      <c r="Q324" s="25">
        <f>'Fiscal Forecasts'!Q$124</f>
        <v>-0.55500000000000005</v>
      </c>
      <c r="R324" s="25">
        <f>'Fiscal Forecasts'!R$124</f>
        <v>-0.60499999999999998</v>
      </c>
      <c r="S324" s="25">
        <f>'Fiscal Forecasts'!S$124</f>
        <v>-0.65500000000000003</v>
      </c>
      <c r="T324" s="11">
        <f ca="1">S$324*(1+OFFSET(Choices!$B$56,0,$C$1))</f>
        <v>-0.66810000000000003</v>
      </c>
      <c r="U324" s="11">
        <f ca="1">T$324*(1+OFFSET(Choices!$B$56,0,$C$1))</f>
        <v>-0.68146200000000001</v>
      </c>
      <c r="V324" s="11">
        <f ca="1">U$324*(1+OFFSET(Choices!$B$56,0,$C$1))</f>
        <v>-0.69509124</v>
      </c>
      <c r="W324" s="11">
        <f ca="1">V$324*(1+OFFSET(Choices!$B$56,0,$C$1))</f>
        <v>-0.70899306480000002</v>
      </c>
      <c r="X324" s="11">
        <f ca="1">W$324*(1+OFFSET(Choices!$B$56,0,$C$1))</f>
        <v>-0.72317292609600003</v>
      </c>
      <c r="Y324" s="11">
        <f ca="1">X$324*(1+OFFSET(Choices!$B$56,0,$C$1))</f>
        <v>-0.73763638461792003</v>
      </c>
      <c r="Z324" s="11">
        <f ca="1">Y$324*(1+OFFSET(Choices!$B$56,0,$C$1))</f>
        <v>-0.75238911231027839</v>
      </c>
      <c r="AA324" s="11">
        <f ca="1">Z$324*(1+OFFSET(Choices!$B$56,0,$C$1))</f>
        <v>-0.76743689455648401</v>
      </c>
      <c r="AB324" s="11">
        <f ca="1">AA$324*(1+OFFSET(Choices!$B$56,0,$C$1))</f>
        <v>-0.78278563244761368</v>
      </c>
      <c r="AC324" s="11">
        <f ca="1">AB$324*(1+OFFSET(Choices!$B$56,0,$C$1))</f>
        <v>-0.79844134509656595</v>
      </c>
      <c r="AD324" s="26"/>
      <c r="AE324" s="26"/>
    </row>
    <row r="325" spans="1:31" x14ac:dyDescent="0.2">
      <c r="A325" s="31"/>
      <c r="B325" s="4"/>
      <c r="F325" s="23"/>
      <c r="G325" s="23"/>
      <c r="H325" s="23"/>
      <c r="I325" s="23"/>
      <c r="J325" s="23"/>
      <c r="K325" s="23"/>
      <c r="L325" s="23"/>
      <c r="M325" s="23"/>
      <c r="N325" s="23"/>
      <c r="O325" s="25"/>
      <c r="P325" s="25"/>
      <c r="Q325" s="25"/>
      <c r="R325" s="25"/>
      <c r="S325" s="11"/>
      <c r="T325" s="11"/>
      <c r="U325" s="11"/>
      <c r="V325" s="11"/>
      <c r="W325" s="11"/>
      <c r="X325" s="11"/>
      <c r="Y325" s="11"/>
      <c r="Z325" s="11"/>
      <c r="AA325" s="11"/>
      <c r="AB325" s="11"/>
      <c r="AC325" s="11"/>
      <c r="AD325" s="26"/>
      <c r="AE325" s="26"/>
    </row>
    <row r="326" spans="1:31" x14ac:dyDescent="0.2">
      <c r="A326" s="31" t="s">
        <v>573</v>
      </c>
      <c r="B326" s="4"/>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c r="AA326" s="30"/>
      <c r="AB326" s="30"/>
      <c r="AC326" s="30"/>
      <c r="AD326" s="26"/>
      <c r="AE326" s="26"/>
    </row>
    <row r="327" spans="1:31" x14ac:dyDescent="0.2">
      <c r="A327" s="3" t="s">
        <v>412</v>
      </c>
      <c r="B327" s="4" t="str">
        <f>$B$46</f>
        <v>From Fiscal Forecasts</v>
      </c>
      <c r="F327" s="21">
        <f>'Fiscal Forecasts'!F$284</f>
        <v>1.179</v>
      </c>
      <c r="G327" s="21">
        <f>'Fiscal Forecasts'!G$284</f>
        <v>0.35299999999999998</v>
      </c>
      <c r="H327" s="21">
        <f>'Fiscal Forecasts'!H$284</f>
        <v>-1.6160000000000001</v>
      </c>
      <c r="I327" s="21">
        <f>'Fiscal Forecasts'!I$284</f>
        <v>2.0939999999999999</v>
      </c>
      <c r="J327" s="21">
        <f>'Fiscal Forecasts'!J$284</f>
        <v>4.1159999999999997</v>
      </c>
      <c r="K327" s="21">
        <f>'Fiscal Forecasts'!K$284</f>
        <v>0.52600000000000002</v>
      </c>
      <c r="L327" s="21">
        <f>'Fiscal Forecasts'!L$284</f>
        <v>5.0810000000000004</v>
      </c>
      <c r="M327" s="21">
        <f>'Fiscal Forecasts'!M$284</f>
        <v>4.0449999999999999</v>
      </c>
      <c r="N327" s="21">
        <f>'Fiscal Forecasts'!N$284</f>
        <v>4.3890000000000002</v>
      </c>
      <c r="O327" s="24">
        <f>'Fiscal Forecasts'!O$284</f>
        <v>0.65</v>
      </c>
      <c r="P327" s="24">
        <f>'Fiscal Forecasts'!P$284</f>
        <v>2.02</v>
      </c>
      <c r="Q327" s="24">
        <f>'Fiscal Forecasts'!Q$284</f>
        <v>2.15</v>
      </c>
      <c r="R327" s="24">
        <f>'Fiscal Forecasts'!R$284</f>
        <v>2.3140000000000001</v>
      </c>
      <c r="S327" s="24">
        <f>'Fiscal Forecasts'!S$284</f>
        <v>2.4790000000000001</v>
      </c>
      <c r="T327" s="26">
        <f t="shared" ref="T327:AC327" ca="1" si="187">(S$327-S$365)*T$11/S$11+T$365</f>
        <v>2.2646006622260422</v>
      </c>
      <c r="U327" s="26">
        <f t="shared" ca="1" si="187"/>
        <v>2.4543087058792539</v>
      </c>
      <c r="V327" s="26">
        <f t="shared" ca="1" si="187"/>
        <v>2.7142941462655745</v>
      </c>
      <c r="W327" s="26">
        <f t="shared" ca="1" si="187"/>
        <v>3.0271655229550323</v>
      </c>
      <c r="X327" s="26">
        <f t="shared" ca="1" si="187"/>
        <v>3.3477250323334022</v>
      </c>
      <c r="Y327" s="26">
        <f t="shared" ca="1" si="187"/>
        <v>3.6744153321125372</v>
      </c>
      <c r="Z327" s="26">
        <f t="shared" ca="1" si="187"/>
        <v>4.0047830421286941</v>
      </c>
      <c r="AA327" s="26">
        <f t="shared" ca="1" si="187"/>
        <v>4.3374126844572087</v>
      </c>
      <c r="AB327" s="26">
        <f t="shared" ca="1" si="187"/>
        <v>4.6720241734504881</v>
      </c>
      <c r="AC327" s="26">
        <f t="shared" ca="1" si="187"/>
        <v>5.0096794815584529</v>
      </c>
      <c r="AD327" s="26"/>
      <c r="AE327" s="26"/>
    </row>
    <row r="328" spans="1:31" x14ac:dyDescent="0.2">
      <c r="A328" s="3" t="s">
        <v>413</v>
      </c>
      <c r="B328" s="4" t="str">
        <f>$B$46</f>
        <v>From Fiscal Forecasts</v>
      </c>
      <c r="F328" s="21">
        <f>'Fiscal Forecasts'!F$285</f>
        <v>0.36499999999999999</v>
      </c>
      <c r="G328" s="21">
        <f>'Fiscal Forecasts'!G$285</f>
        <v>-0.74299999999999999</v>
      </c>
      <c r="H328" s="21">
        <f>'Fiscal Forecasts'!H$285</f>
        <v>-0.66900000000000004</v>
      </c>
      <c r="I328" s="21">
        <f>'Fiscal Forecasts'!I$285</f>
        <v>0.78700000000000003</v>
      </c>
      <c r="J328" s="21">
        <f>'Fiscal Forecasts'!J$285</f>
        <v>1.0580000000000001</v>
      </c>
      <c r="K328" s="21">
        <f>'Fiscal Forecasts'!K$285</f>
        <v>0.93</v>
      </c>
      <c r="L328" s="21">
        <f>'Fiscal Forecasts'!L$285</f>
        <v>1.1919999999999999</v>
      </c>
      <c r="M328" s="21">
        <f>'Fiscal Forecasts'!M$285</f>
        <v>0.70199999999999996</v>
      </c>
      <c r="N328" s="21">
        <f>'Fiscal Forecasts'!N$285</f>
        <v>2.7519999999999998</v>
      </c>
      <c r="O328" s="24">
        <f>'Fiscal Forecasts'!O$285</f>
        <v>-0.02</v>
      </c>
      <c r="P328" s="24">
        <f>'Fiscal Forecasts'!P$285</f>
        <v>0.28799999999999998</v>
      </c>
      <c r="Q328" s="24">
        <f>'Fiscal Forecasts'!Q$285</f>
        <v>0.32200000000000001</v>
      </c>
      <c r="R328" s="24">
        <f>'Fiscal Forecasts'!R$285</f>
        <v>0.36699999999999999</v>
      </c>
      <c r="S328" s="24">
        <f>'Fiscal Forecasts'!S$285</f>
        <v>0.41099999999999998</v>
      </c>
      <c r="T328" s="26">
        <f>S$328*Tracks!T$33/Tracks!S$33</f>
        <v>0.42970516325656577</v>
      </c>
      <c r="U328" s="26">
        <f>T$328*Tracks!U$33/Tracks!T$33</f>
        <v>0.4509276676410911</v>
      </c>
      <c r="V328" s="26">
        <f>U$328*Tracks!V$33/Tracks!U$33</f>
        <v>0.47237549367589227</v>
      </c>
      <c r="W328" s="26">
        <f>V$328*Tracks!W$33/Tracks!V$33</f>
        <v>0.49447669375023978</v>
      </c>
      <c r="X328" s="26">
        <f>W$328*Tracks!X$33/Tracks!W$33</f>
        <v>0.51678530595685279</v>
      </c>
      <c r="Y328" s="26">
        <f>X$328*Tracks!Y$33/Tracks!X$33</f>
        <v>0.53974257853501262</v>
      </c>
      <c r="Z328" s="26">
        <f>Y$328*Tracks!Z$33/Tracks!Y$33</f>
        <v>0.56393400567002605</v>
      </c>
      <c r="AA328" s="26">
        <f>Z$328*Tracks!AA$33/Tracks!Z$33</f>
        <v>0.58887877473058348</v>
      </c>
      <c r="AB328" s="26">
        <f>AA$328*Tracks!AB$33/Tracks!AA$33</f>
        <v>0.61439336403554612</v>
      </c>
      <c r="AC328" s="26">
        <f>AB$328*Tracks!AC$33/Tracks!AB$33</f>
        <v>0.64069260570671005</v>
      </c>
      <c r="AD328" s="26"/>
      <c r="AE328" s="26"/>
    </row>
    <row r="329" spans="1:31" x14ac:dyDescent="0.2">
      <c r="A329" s="3" t="s">
        <v>414</v>
      </c>
      <c r="B329" s="4" t="str">
        <f>$B$46</f>
        <v>From Fiscal Forecasts</v>
      </c>
      <c r="F329" s="21">
        <f>'Fiscal Forecasts'!F$286</f>
        <v>6.3E-2</v>
      </c>
      <c r="G329" s="21">
        <f>'Fiscal Forecasts'!G$286</f>
        <v>-3.6999999999999998E-2</v>
      </c>
      <c r="H329" s="21">
        <f>'Fiscal Forecasts'!H$286</f>
        <v>-0.13800000000000001</v>
      </c>
      <c r="I329" s="21">
        <f>'Fiscal Forecasts'!I$286</f>
        <v>-0.105</v>
      </c>
      <c r="J329" s="21">
        <f>'Fiscal Forecasts'!J$286</f>
        <v>-0.28100000000000003</v>
      </c>
      <c r="K329" s="21">
        <f>'Fiscal Forecasts'!K$286</f>
        <v>8.9999999999999993E-3</v>
      </c>
      <c r="L329" s="21">
        <f>'Fiscal Forecasts'!L$286</f>
        <v>0.35399999999999998</v>
      </c>
      <c r="M329" s="21">
        <f>'Fiscal Forecasts'!M$286</f>
        <v>0.161</v>
      </c>
      <c r="N329" s="21">
        <f>'Fiscal Forecasts'!N$286</f>
        <v>-6.3E-2</v>
      </c>
      <c r="O329" s="24">
        <f>'Fiscal Forecasts'!O$286</f>
        <v>0.14299999999999999</v>
      </c>
      <c r="P329" s="24">
        <f>'Fiscal Forecasts'!P$286</f>
        <v>4.2999999999999997E-2</v>
      </c>
      <c r="Q329" s="24">
        <f>'Fiscal Forecasts'!Q$286</f>
        <v>2.8000000000000001E-2</v>
      </c>
      <c r="R329" s="24">
        <f>'Fiscal Forecasts'!R$286</f>
        <v>1.4999999999999999E-2</v>
      </c>
      <c r="S329" s="24">
        <f>'Fiscal Forecasts'!S$286</f>
        <v>1.0999999999999999E-2</v>
      </c>
      <c r="T329" s="26">
        <f t="shared" ref="T329:AC329" ca="1" si="188">S$329*T$11/S$11</f>
        <v>1.1488539176228812E-2</v>
      </c>
      <c r="U329" s="26">
        <f t="shared" ca="1" si="188"/>
        <v>1.1997832909443949E-2</v>
      </c>
      <c r="V329" s="26">
        <f t="shared" ca="1" si="188"/>
        <v>1.253642064455433E-2</v>
      </c>
      <c r="W329" s="26">
        <f t="shared" ca="1" si="188"/>
        <v>1.3095028985772061E-2</v>
      </c>
      <c r="X329" s="26">
        <f t="shared" ca="1" si="188"/>
        <v>1.3676675452976102E-2</v>
      </c>
      <c r="Y329" s="26">
        <f t="shared" ca="1" si="188"/>
        <v>1.4277127409254197E-2</v>
      </c>
      <c r="Z329" s="26">
        <f t="shared" ca="1" si="188"/>
        <v>1.4895162103311288E-2</v>
      </c>
      <c r="AA329" s="26">
        <f t="shared" ca="1" si="188"/>
        <v>1.5531214356116544E-2</v>
      </c>
      <c r="AB329" s="26">
        <f t="shared" ca="1" si="188"/>
        <v>1.618282803428912E-2</v>
      </c>
      <c r="AC329" s="26">
        <f t="shared" ca="1" si="188"/>
        <v>1.6853399161143791E-2</v>
      </c>
      <c r="AD329" s="26"/>
      <c r="AE329" s="26"/>
    </row>
    <row r="330" spans="1:31" x14ac:dyDescent="0.2">
      <c r="A330" s="3" t="s">
        <v>415</v>
      </c>
      <c r="B330" s="4" t="str">
        <f>$B$46</f>
        <v>From Fiscal Forecasts</v>
      </c>
      <c r="F330" s="21">
        <f>'Fiscal Forecasts'!F$287</f>
        <v>-4.2000000000000003E-2</v>
      </c>
      <c r="G330" s="21">
        <f>'Fiscal Forecasts'!G$287</f>
        <v>-0.19</v>
      </c>
      <c r="H330" s="21">
        <f>'Fiscal Forecasts'!H$287</f>
        <v>-0.21099999999999999</v>
      </c>
      <c r="I330" s="21">
        <f>'Fiscal Forecasts'!I$287</f>
        <v>-0.254</v>
      </c>
      <c r="J330" s="21">
        <f>'Fiscal Forecasts'!J$287</f>
        <v>-0.27400000000000002</v>
      </c>
      <c r="K330" s="21">
        <f>'Fiscal Forecasts'!K$287</f>
        <v>-0.77300000000000002</v>
      </c>
      <c r="L330" s="21">
        <f>'Fiscal Forecasts'!L$287</f>
        <v>0.64300000000000002</v>
      </c>
      <c r="M330" s="21">
        <f>'Fiscal Forecasts'!M$287</f>
        <v>-8.7999999999999995E-2</v>
      </c>
      <c r="N330" s="21">
        <f>'Fiscal Forecasts'!N$287</f>
        <v>-0.88200000000000001</v>
      </c>
      <c r="O330" s="24">
        <f>'Fiscal Forecasts'!O$287</f>
        <v>-0.19700000000000001</v>
      </c>
      <c r="P330" s="24">
        <f>'Fiscal Forecasts'!P$287</f>
        <v>-0.157</v>
      </c>
      <c r="Q330" s="24">
        <f>'Fiscal Forecasts'!Q$287</f>
        <v>-0.20300000000000001</v>
      </c>
      <c r="R330" s="24">
        <f>'Fiscal Forecasts'!R$287</f>
        <v>-0.218</v>
      </c>
      <c r="S330" s="24">
        <f>'Fiscal Forecasts'!S$287</f>
        <v>-0.22900000000000001</v>
      </c>
      <c r="T330" s="26">
        <f t="shared" ref="T330:AC330" ca="1" si="189">S$330*T$327/S$327</f>
        <v>-0.20919465576835972</v>
      </c>
      <c r="U330" s="26">
        <f t="shared" ca="1" si="189"/>
        <v>-0.22671911805016104</v>
      </c>
      <c r="V330" s="26">
        <f t="shared" ca="1" si="189"/>
        <v>-0.25073552218427458</v>
      </c>
      <c r="W330" s="26">
        <f t="shared" ca="1" si="189"/>
        <v>-0.27963731535163477</v>
      </c>
      <c r="X330" s="26">
        <f t="shared" ca="1" si="189"/>
        <v>-0.30924930714173027</v>
      </c>
      <c r="Y330" s="26">
        <f t="shared" ca="1" si="189"/>
        <v>-0.33942763656868546</v>
      </c>
      <c r="Z330" s="26">
        <f t="shared" ca="1" si="189"/>
        <v>-0.3699456702894196</v>
      </c>
      <c r="AA330" s="26">
        <f t="shared" ca="1" si="189"/>
        <v>-0.40067265217454662</v>
      </c>
      <c r="AB330" s="26">
        <f t="shared" ca="1" si="189"/>
        <v>-0.43158270904403473</v>
      </c>
      <c r="AC330" s="26">
        <f t="shared" ca="1" si="189"/>
        <v>-0.4627739416203655</v>
      </c>
      <c r="AD330" s="26"/>
      <c r="AE330" s="26"/>
    </row>
    <row r="331" spans="1:31" x14ac:dyDescent="0.2">
      <c r="A331" s="31" t="s">
        <v>585</v>
      </c>
      <c r="B331" s="4"/>
      <c r="F331" s="56">
        <f>SUM(F$327:F$330)</f>
        <v>1.5649999999999999</v>
      </c>
      <c r="G331" s="56">
        <f t="shared" ref="G331:AC331" si="190">SUM(G$327:G$330)</f>
        <v>-0.61699999999999999</v>
      </c>
      <c r="H331" s="56">
        <f t="shared" si="190"/>
        <v>-2.6339999999999999</v>
      </c>
      <c r="I331" s="56">
        <f t="shared" si="190"/>
        <v>2.5219999999999998</v>
      </c>
      <c r="J331" s="56">
        <f t="shared" si="190"/>
        <v>4.6189999999999998</v>
      </c>
      <c r="K331" s="56">
        <f t="shared" si="190"/>
        <v>0.69199999999999984</v>
      </c>
      <c r="L331" s="56">
        <f t="shared" si="190"/>
        <v>7.2700000000000005</v>
      </c>
      <c r="M331" s="56">
        <f t="shared" si="190"/>
        <v>4.8199999999999994</v>
      </c>
      <c r="N331" s="56">
        <f t="shared" si="190"/>
        <v>6.1960000000000006</v>
      </c>
      <c r="O331" s="57">
        <f t="shared" si="190"/>
        <v>0.57600000000000007</v>
      </c>
      <c r="P331" s="57">
        <f t="shared" si="190"/>
        <v>2.194</v>
      </c>
      <c r="Q331" s="57">
        <f t="shared" si="190"/>
        <v>2.2970000000000002</v>
      </c>
      <c r="R331" s="57">
        <f t="shared" si="190"/>
        <v>2.4780000000000002</v>
      </c>
      <c r="S331" s="57">
        <f t="shared" si="190"/>
        <v>2.6720000000000002</v>
      </c>
      <c r="T331" s="58">
        <f t="shared" ca="1" si="190"/>
        <v>2.4965997088904772</v>
      </c>
      <c r="U331" s="58">
        <f t="shared" ca="1" si="190"/>
        <v>2.6905150883796281</v>
      </c>
      <c r="V331" s="58">
        <f t="shared" ca="1" si="190"/>
        <v>2.9484705384017462</v>
      </c>
      <c r="W331" s="58">
        <f t="shared" ca="1" si="190"/>
        <v>3.255099930339409</v>
      </c>
      <c r="X331" s="58">
        <f t="shared" ca="1" si="190"/>
        <v>3.5689377066015009</v>
      </c>
      <c r="Y331" s="58">
        <f t="shared" ca="1" si="190"/>
        <v>3.8890074014881186</v>
      </c>
      <c r="Z331" s="58">
        <f t="shared" ca="1" si="190"/>
        <v>4.2136665396126114</v>
      </c>
      <c r="AA331" s="58">
        <f t="shared" ca="1" si="190"/>
        <v>4.5411500213693623</v>
      </c>
      <c r="AB331" s="58">
        <f t="shared" ca="1" si="190"/>
        <v>4.8710176564762886</v>
      </c>
      <c r="AC331" s="58">
        <f t="shared" ca="1" si="190"/>
        <v>5.2044515448059414</v>
      </c>
      <c r="AD331" s="26"/>
      <c r="AE331" s="26"/>
    </row>
    <row r="332" spans="1:31" x14ac:dyDescent="0.2">
      <c r="A332" s="31"/>
      <c r="B332" s="4"/>
      <c r="F332" s="62"/>
      <c r="G332" s="62"/>
      <c r="H332" s="62"/>
      <c r="I332" s="62"/>
      <c r="J332" s="62"/>
      <c r="K332" s="62"/>
      <c r="L332" s="62"/>
      <c r="M332" s="62"/>
      <c r="N332" s="62"/>
      <c r="O332" s="70"/>
      <c r="P332" s="70"/>
      <c r="Q332" s="70"/>
      <c r="R332" s="70"/>
      <c r="S332" s="70"/>
      <c r="T332" s="63"/>
      <c r="U332" s="63"/>
      <c r="V332" s="63"/>
      <c r="W332" s="63"/>
      <c r="X332" s="63"/>
      <c r="Y332" s="63"/>
      <c r="Z332" s="63"/>
      <c r="AA332" s="63"/>
      <c r="AB332" s="63"/>
      <c r="AC332" s="63"/>
      <c r="AD332" s="26"/>
      <c r="AE332" s="26"/>
    </row>
    <row r="333" spans="1:31" x14ac:dyDescent="0.2">
      <c r="A333" s="31" t="s">
        <v>586</v>
      </c>
      <c r="B333" s="4"/>
      <c r="F333" s="62"/>
      <c r="G333" s="62"/>
      <c r="H333" s="62"/>
      <c r="I333" s="62"/>
      <c r="J333" s="62"/>
      <c r="K333" s="62"/>
      <c r="L333" s="62"/>
      <c r="M333" s="62"/>
      <c r="N333" s="62"/>
      <c r="O333" s="70"/>
      <c r="P333" s="70"/>
      <c r="Q333" s="70"/>
      <c r="R333" s="70"/>
      <c r="S333" s="70"/>
      <c r="T333" s="63"/>
      <c r="U333" s="63"/>
      <c r="V333" s="63"/>
      <c r="W333" s="63"/>
      <c r="X333" s="63"/>
      <c r="Y333" s="63"/>
      <c r="Z333" s="63"/>
      <c r="AA333" s="63"/>
      <c r="AB333" s="63"/>
      <c r="AC333" s="63"/>
      <c r="AD333" s="26"/>
      <c r="AE333" s="26"/>
    </row>
    <row r="334" spans="1:31" x14ac:dyDescent="0.2">
      <c r="A334" s="3" t="s">
        <v>587</v>
      </c>
      <c r="B334" s="4" t="str">
        <f>$B$46</f>
        <v>From Fiscal Forecasts</v>
      </c>
      <c r="F334" s="21">
        <f>'Fiscal Forecasts'!F$290</f>
        <v>1.133</v>
      </c>
      <c r="G334" s="21">
        <f>'Fiscal Forecasts'!G$290</f>
        <v>-1.0980000000000001</v>
      </c>
      <c r="H334" s="21">
        <f>'Fiscal Forecasts'!H$290</f>
        <v>-0.69499999999999995</v>
      </c>
      <c r="I334" s="21">
        <f>'Fiscal Forecasts'!I$290</f>
        <v>-1.2310000000000001</v>
      </c>
      <c r="J334" s="21">
        <f>'Fiscal Forecasts'!J$290</f>
        <v>-0.57399999999999995</v>
      </c>
      <c r="K334" s="21">
        <f>'Fiscal Forecasts'!K$290</f>
        <v>-3.8959999999999999</v>
      </c>
      <c r="L334" s="21">
        <f>'Fiscal Forecasts'!L$290</f>
        <v>1.2509999999999999</v>
      </c>
      <c r="M334" s="21">
        <f>'Fiscal Forecasts'!M$290</f>
        <v>0.57699999999999996</v>
      </c>
      <c r="N334" s="21">
        <f>'Fiscal Forecasts'!N$290</f>
        <v>-0.32200000000000001</v>
      </c>
      <c r="O334" s="24">
        <f>'Fiscal Forecasts'!O$290</f>
        <v>-0.37</v>
      </c>
      <c r="P334" s="24">
        <f>'Fiscal Forecasts'!P$290</f>
        <v>0</v>
      </c>
      <c r="Q334" s="24">
        <f>'Fiscal Forecasts'!Q$290</f>
        <v>0</v>
      </c>
      <c r="R334" s="24">
        <f>'Fiscal Forecasts'!R$290</f>
        <v>0</v>
      </c>
      <c r="S334" s="24">
        <f>'Fiscal Forecasts'!S$290</f>
        <v>0</v>
      </c>
      <c r="T334" s="26">
        <f>S$334*Tracks!T$43/Tracks!S$43</f>
        <v>0</v>
      </c>
      <c r="U334" s="26">
        <f>T$334*Tracks!U$43/Tracks!T$43</f>
        <v>0</v>
      </c>
      <c r="V334" s="26">
        <f>U$334*Tracks!V$43/Tracks!U$43</f>
        <v>0</v>
      </c>
      <c r="W334" s="26">
        <f>V$334*Tracks!W$43/Tracks!V$43</f>
        <v>0</v>
      </c>
      <c r="X334" s="26">
        <f>W$334*Tracks!X$43/Tracks!W$43</f>
        <v>0</v>
      </c>
      <c r="Y334" s="26">
        <f>X$334*Tracks!Y$43/Tracks!X$43</f>
        <v>0</v>
      </c>
      <c r="Z334" s="26">
        <f>Y$334*Tracks!Z$43/Tracks!Y$43</f>
        <v>0</v>
      </c>
      <c r="AA334" s="26">
        <f>Z$334*Tracks!AA$43/Tracks!Z$43</f>
        <v>0</v>
      </c>
      <c r="AB334" s="26">
        <f>AA$334*Tracks!AB$43/Tracks!AA$43</f>
        <v>0</v>
      </c>
      <c r="AC334" s="26">
        <f>AB$334*Tracks!AC$43/Tracks!AB$43</f>
        <v>0</v>
      </c>
      <c r="AD334" s="26"/>
      <c r="AE334" s="26"/>
    </row>
    <row r="335" spans="1:31" x14ac:dyDescent="0.2">
      <c r="A335" s="3" t="s">
        <v>591</v>
      </c>
      <c r="B335" s="4" t="str">
        <f>$B$46</f>
        <v>From Fiscal Forecasts</v>
      </c>
      <c r="F335" s="21">
        <f>'Fiscal Forecasts'!F$291</f>
        <v>-0.48099999999999998</v>
      </c>
      <c r="G335" s="21">
        <f>'Fiscal Forecasts'!G$291</f>
        <v>-1.7090000000000001</v>
      </c>
      <c r="H335" s="21">
        <f>'Fiscal Forecasts'!H$291</f>
        <v>-4.4909999999999997</v>
      </c>
      <c r="I335" s="21">
        <f>'Fiscal Forecasts'!I$291</f>
        <v>0.41</v>
      </c>
      <c r="J335" s="21">
        <f>'Fiscal Forecasts'!J$291</f>
        <v>0.996</v>
      </c>
      <c r="K335" s="21">
        <f>'Fiscal Forecasts'!K$291</f>
        <v>-2.9420000000000002</v>
      </c>
      <c r="L335" s="21">
        <f>'Fiscal Forecasts'!L$291</f>
        <v>2.3690000000000002</v>
      </c>
      <c r="M335" s="21">
        <f>'Fiscal Forecasts'!M$291</f>
        <v>0.47899999999999998</v>
      </c>
      <c r="N335" s="21">
        <f>'Fiscal Forecasts'!N$291</f>
        <v>-1.3520000000000001</v>
      </c>
      <c r="O335" s="24">
        <f>'Fiscal Forecasts'!O$291</f>
        <v>0.28799999999999998</v>
      </c>
      <c r="P335" s="24">
        <f>'Fiscal Forecasts'!P$291</f>
        <v>0</v>
      </c>
      <c r="Q335" s="24">
        <f>'Fiscal Forecasts'!Q$291</f>
        <v>0</v>
      </c>
      <c r="R335" s="24">
        <f>'Fiscal Forecasts'!R$291</f>
        <v>0</v>
      </c>
      <c r="S335" s="24">
        <f>'Fiscal Forecasts'!S$291</f>
        <v>0</v>
      </c>
      <c r="T335" s="26">
        <f>S$335*(Tracks!T$34-Tracks!T$35)/(Tracks!S$34-Tracks!S$35)</f>
        <v>0</v>
      </c>
      <c r="U335" s="26">
        <f>T$335*(Tracks!U$34-Tracks!U$35)/(Tracks!T$34-Tracks!T$35)</f>
        <v>0</v>
      </c>
      <c r="V335" s="26">
        <f>U$335*(Tracks!V$34-Tracks!V$35)/(Tracks!U$34-Tracks!U$35)</f>
        <v>0</v>
      </c>
      <c r="W335" s="26">
        <f>V$335*(Tracks!W$34-Tracks!W$35)/(Tracks!V$34-Tracks!V$35)</f>
        <v>0</v>
      </c>
      <c r="X335" s="26">
        <f>W$335*(Tracks!X$34-Tracks!X$35)/(Tracks!W$34-Tracks!W$35)</f>
        <v>0</v>
      </c>
      <c r="Y335" s="26">
        <f>X$335*(Tracks!Y$34-Tracks!Y$35)/(Tracks!X$34-Tracks!X$35)</f>
        <v>0</v>
      </c>
      <c r="Z335" s="26">
        <f>Y$335*(Tracks!Z$34-Tracks!Z$35)/(Tracks!Y$34-Tracks!Y$35)</f>
        <v>0</v>
      </c>
      <c r="AA335" s="26">
        <f>Z$335*(Tracks!AA$34-Tracks!AA$35)/(Tracks!Z$34-Tracks!Z$35)</f>
        <v>0</v>
      </c>
      <c r="AB335" s="26">
        <f>AA$335*(Tracks!AB$34-Tracks!AB$35)/(Tracks!AA$34-Tracks!AA$35)</f>
        <v>0</v>
      </c>
      <c r="AC335" s="26">
        <f>AB$335*(Tracks!AC$34-Tracks!AC$35)/(Tracks!AB$34-Tracks!AB$35)</f>
        <v>0</v>
      </c>
      <c r="AD335" s="26"/>
      <c r="AE335" s="26"/>
    </row>
    <row r="336" spans="1:31" x14ac:dyDescent="0.2">
      <c r="A336" s="3" t="s">
        <v>847</v>
      </c>
      <c r="B336" s="4" t="str">
        <f>$B$46</f>
        <v>From Fiscal Forecasts</v>
      </c>
      <c r="F336" s="21">
        <f>'Fiscal Forecasts'!F$292</f>
        <v>-0.16600000000000001</v>
      </c>
      <c r="G336" s="21">
        <f>'Fiscal Forecasts'!G$292</f>
        <v>-0.11799999999999999</v>
      </c>
      <c r="H336" s="21">
        <f>'Fiscal Forecasts'!H$292</f>
        <v>1.0209999999999999</v>
      </c>
      <c r="I336" s="21">
        <f>'Fiscal Forecasts'!I$292</f>
        <v>-0.13900000000000001</v>
      </c>
      <c r="J336" s="21">
        <f>'Fiscal Forecasts'!J$292</f>
        <v>-0.34300000000000003</v>
      </c>
      <c r="K336" s="21">
        <f>'Fiscal Forecasts'!K$292</f>
        <v>0.312</v>
      </c>
      <c r="L336" s="21">
        <f>'Fiscal Forecasts'!L$292</f>
        <v>8.5999999999999993E-2</v>
      </c>
      <c r="M336" s="21">
        <f>'Fiscal Forecasts'!M$292</f>
        <v>-0.51600000000000001</v>
      </c>
      <c r="N336" s="21">
        <f>'Fiscal Forecasts'!N$292</f>
        <v>2.5000000000000001E-2</v>
      </c>
      <c r="O336" s="24">
        <f>'Fiscal Forecasts'!O$292</f>
        <v>-1.9E-2</v>
      </c>
      <c r="P336" s="24">
        <f>'Fiscal Forecasts'!P$292</f>
        <v>-9.2999999999999999E-2</v>
      </c>
      <c r="Q336" s="24">
        <f>'Fiscal Forecasts'!Q$292</f>
        <v>-0.12</v>
      </c>
      <c r="R336" s="24">
        <f>'Fiscal Forecasts'!R$292</f>
        <v>-6.4000000000000001E-2</v>
      </c>
      <c r="S336" s="24">
        <f>'Fiscal Forecasts'!S$292</f>
        <v>-0.10199999999999999</v>
      </c>
      <c r="T336" s="26">
        <f ca="1">IF(T$4=OFFSET(Choices!$B$10,0,$C$1),0,S$336*T$29/S$29)</f>
        <v>0</v>
      </c>
      <c r="U336" s="26">
        <f ca="1">IF(U$4=OFFSET(Choices!$B$10,0,$C$1),0,T$336*U$29/T$29)</f>
        <v>0</v>
      </c>
      <c r="V336" s="26">
        <f ca="1">IF(V$4=OFFSET(Choices!$B$10,0,$C$1),0,U$336*V$29/U$29)</f>
        <v>0</v>
      </c>
      <c r="W336" s="26">
        <f ca="1">IF(W$4=OFFSET(Choices!$B$10,0,$C$1),0,V$336*W$29/V$29)</f>
        <v>0</v>
      </c>
      <c r="X336" s="26">
        <f ca="1">IF(X$4=OFFSET(Choices!$B$10,0,$C$1),0,W$336*X$29/W$29)</f>
        <v>0</v>
      </c>
      <c r="Y336" s="26">
        <f ca="1">IF(Y$4=OFFSET(Choices!$B$10,0,$C$1),0,X$336*Y$29/X$29)</f>
        <v>0</v>
      </c>
      <c r="Z336" s="26">
        <f ca="1">IF(Z$4=OFFSET(Choices!$B$10,0,$C$1),0,Y$336*Z$29/Y$29)</f>
        <v>0</v>
      </c>
      <c r="AA336" s="26">
        <f ca="1">IF(AA$4=OFFSET(Choices!$B$10,0,$C$1),0,Z$336*AA$29/Z$29)</f>
        <v>0</v>
      </c>
      <c r="AB336" s="26">
        <f ca="1">IF(AB$4=OFFSET(Choices!$B$10,0,$C$1),0,AA$336*AB$29/AA$29)</f>
        <v>0</v>
      </c>
      <c r="AC336" s="26">
        <f ca="1">IF(AC$4=OFFSET(Choices!$B$10,0,$C$1),0,AB$336*AC$29/AB$29)</f>
        <v>0</v>
      </c>
      <c r="AD336" s="26"/>
      <c r="AE336" s="26"/>
    </row>
    <row r="337" spans="1:31" x14ac:dyDescent="0.2">
      <c r="A337" s="31" t="s">
        <v>594</v>
      </c>
      <c r="B337" s="4"/>
      <c r="F337" s="56">
        <f>SUM(F$334:F$336)</f>
        <v>0.48599999999999999</v>
      </c>
      <c r="G337" s="56">
        <f t="shared" ref="G337:S337" si="191">SUM(G$334:G$336)</f>
        <v>-2.9250000000000003</v>
      </c>
      <c r="H337" s="56">
        <f t="shared" si="191"/>
        <v>-4.165</v>
      </c>
      <c r="I337" s="56">
        <f t="shared" si="191"/>
        <v>-0.96000000000000019</v>
      </c>
      <c r="J337" s="56">
        <f t="shared" si="191"/>
        <v>7.9000000000000015E-2</v>
      </c>
      <c r="K337" s="56">
        <f t="shared" si="191"/>
        <v>-6.5259999999999998</v>
      </c>
      <c r="L337" s="56">
        <f t="shared" si="191"/>
        <v>3.706</v>
      </c>
      <c r="M337" s="56">
        <f t="shared" si="191"/>
        <v>0.54</v>
      </c>
      <c r="N337" s="56">
        <f t="shared" si="191"/>
        <v>-1.6490000000000002</v>
      </c>
      <c r="O337" s="57">
        <f t="shared" si="191"/>
        <v>-0.10100000000000002</v>
      </c>
      <c r="P337" s="57">
        <f t="shared" si="191"/>
        <v>-9.2999999999999999E-2</v>
      </c>
      <c r="Q337" s="57">
        <f t="shared" si="191"/>
        <v>-0.12</v>
      </c>
      <c r="R337" s="57">
        <f t="shared" si="191"/>
        <v>-6.4000000000000001E-2</v>
      </c>
      <c r="S337" s="57">
        <f t="shared" si="191"/>
        <v>-0.10199999999999999</v>
      </c>
      <c r="T337" s="58">
        <f t="shared" ref="T337:AC337" ca="1" si="192">SUM(T$334:T$336)</f>
        <v>0</v>
      </c>
      <c r="U337" s="58">
        <f t="shared" ca="1" si="192"/>
        <v>0</v>
      </c>
      <c r="V337" s="58">
        <f t="shared" ca="1" si="192"/>
        <v>0</v>
      </c>
      <c r="W337" s="58">
        <f t="shared" ca="1" si="192"/>
        <v>0</v>
      </c>
      <c r="X337" s="58">
        <f t="shared" ca="1" si="192"/>
        <v>0</v>
      </c>
      <c r="Y337" s="58">
        <f t="shared" ca="1" si="192"/>
        <v>0</v>
      </c>
      <c r="Z337" s="58">
        <f t="shared" ca="1" si="192"/>
        <v>0</v>
      </c>
      <c r="AA337" s="58">
        <f t="shared" ca="1" si="192"/>
        <v>0</v>
      </c>
      <c r="AB337" s="58">
        <f t="shared" ca="1" si="192"/>
        <v>0</v>
      </c>
      <c r="AC337" s="58">
        <f t="shared" ca="1" si="192"/>
        <v>0</v>
      </c>
      <c r="AD337" s="26"/>
      <c r="AE337" s="26"/>
    </row>
    <row r="338" spans="1:31" x14ac:dyDescent="0.2">
      <c r="A338" s="3" t="s">
        <v>786</v>
      </c>
      <c r="B338" s="4" t="str">
        <f>$B$46</f>
        <v>From Fiscal Forecasts</v>
      </c>
      <c r="F338" s="21">
        <f>'Fiscal Forecasts'!F$294</f>
        <v>1.163</v>
      </c>
      <c r="G338" s="21">
        <f>'Fiscal Forecasts'!G$294</f>
        <v>-1.369</v>
      </c>
      <c r="H338" s="21">
        <f>'Fiscal Forecasts'!H$294</f>
        <v>0.123</v>
      </c>
      <c r="I338" s="21">
        <f>'Fiscal Forecasts'!I$294</f>
        <v>-1.351</v>
      </c>
      <c r="J338" s="21">
        <f>'Fiscal Forecasts'!J$294</f>
        <v>-0.58799999999999997</v>
      </c>
      <c r="K338" s="21">
        <f>'Fiscal Forecasts'!K$294</f>
        <v>-3.79</v>
      </c>
      <c r="L338" s="21">
        <f>'Fiscal Forecasts'!L$294</f>
        <v>1.298</v>
      </c>
      <c r="M338" s="21">
        <f>'Fiscal Forecasts'!M$294</f>
        <v>0.22</v>
      </c>
      <c r="N338" s="21">
        <f>'Fiscal Forecasts'!N$294</f>
        <v>-0.71899999999999997</v>
      </c>
      <c r="O338" s="24">
        <f>'Fiscal Forecasts'!O$294</f>
        <v>-0.35899999999999999</v>
      </c>
      <c r="P338" s="24">
        <f>'Fiscal Forecasts'!P$294</f>
        <v>1E-3</v>
      </c>
      <c r="Q338" s="24">
        <f>'Fiscal Forecasts'!Q$294</f>
        <v>1E-3</v>
      </c>
      <c r="R338" s="24">
        <f>'Fiscal Forecasts'!R$294</f>
        <v>1E-3</v>
      </c>
      <c r="S338" s="24">
        <f>'Fiscal Forecasts'!S$294</f>
        <v>1E-3</v>
      </c>
      <c r="T338" s="26">
        <f t="shared" ref="T338:AC338" si="193">T$334</f>
        <v>0</v>
      </c>
      <c r="U338" s="26">
        <f t="shared" si="193"/>
        <v>0</v>
      </c>
      <c r="V338" s="26">
        <f t="shared" si="193"/>
        <v>0</v>
      </c>
      <c r="W338" s="26">
        <f t="shared" si="193"/>
        <v>0</v>
      </c>
      <c r="X338" s="26">
        <f t="shared" si="193"/>
        <v>0</v>
      </c>
      <c r="Y338" s="26">
        <f t="shared" si="193"/>
        <v>0</v>
      </c>
      <c r="Z338" s="26">
        <f t="shared" si="193"/>
        <v>0</v>
      </c>
      <c r="AA338" s="26">
        <f t="shared" si="193"/>
        <v>0</v>
      </c>
      <c r="AB338" s="26">
        <f t="shared" si="193"/>
        <v>0</v>
      </c>
      <c r="AC338" s="26">
        <f t="shared" si="193"/>
        <v>0</v>
      </c>
      <c r="AD338" s="26"/>
      <c r="AE338" s="26"/>
    </row>
    <row r="339" spans="1:31" x14ac:dyDescent="0.2">
      <c r="A339" s="31"/>
      <c r="B339" s="4"/>
      <c r="F339" s="21"/>
      <c r="G339" s="21"/>
      <c r="H339" s="21"/>
      <c r="I339" s="21"/>
      <c r="J339" s="21"/>
      <c r="K339" s="21"/>
      <c r="L339" s="21"/>
      <c r="M339" s="21"/>
      <c r="N339" s="21"/>
      <c r="O339" s="24"/>
      <c r="P339" s="24"/>
      <c r="Q339" s="24"/>
      <c r="R339" s="24"/>
      <c r="S339" s="24"/>
      <c r="T339" s="24"/>
      <c r="U339" s="24"/>
      <c r="V339" s="24"/>
      <c r="W339" s="24"/>
      <c r="X339" s="24"/>
      <c r="Y339" s="24"/>
      <c r="Z339" s="24"/>
      <c r="AA339" s="24"/>
      <c r="AB339" s="24"/>
      <c r="AC339" s="24"/>
      <c r="AD339" s="26"/>
      <c r="AE339" s="26"/>
    </row>
    <row r="340" spans="1:31" x14ac:dyDescent="0.2">
      <c r="A340" s="31" t="s">
        <v>597</v>
      </c>
      <c r="B340" s="4" t="str">
        <f>$B$46</f>
        <v>From Fiscal Forecasts</v>
      </c>
      <c r="F340" s="23">
        <f>'Fiscal Forecasts'!F$180</f>
        <v>-3.9E-2</v>
      </c>
      <c r="G340" s="23">
        <f>'Fiscal Forecasts'!G$180</f>
        <v>8.3000000000000004E-2</v>
      </c>
      <c r="H340" s="23">
        <f>'Fiscal Forecasts'!H$180</f>
        <v>0.152</v>
      </c>
      <c r="I340" s="23">
        <f>'Fiscal Forecasts'!I$180</f>
        <v>5.5E-2</v>
      </c>
      <c r="J340" s="23">
        <f>'Fiscal Forecasts'!J$180</f>
        <v>0.10299999999999999</v>
      </c>
      <c r="K340" s="23">
        <f>'Fiscal Forecasts'!K$180</f>
        <v>0.104</v>
      </c>
      <c r="L340" s="23">
        <f>'Fiscal Forecasts'!L$180</f>
        <v>0.153</v>
      </c>
      <c r="M340" s="23">
        <f>'Fiscal Forecasts'!M$180</f>
        <v>0.108</v>
      </c>
      <c r="N340" s="23">
        <f>'Fiscal Forecasts'!N$180</f>
        <v>0.35899999999999999</v>
      </c>
      <c r="O340" s="25">
        <f>'Fiscal Forecasts'!O$180</f>
        <v>7.9000000000000001E-2</v>
      </c>
      <c r="P340" s="25">
        <f>'Fiscal Forecasts'!P$180</f>
        <v>9.1999999999999998E-2</v>
      </c>
      <c r="Q340" s="25">
        <f>'Fiscal Forecasts'!Q$180</f>
        <v>9.4E-2</v>
      </c>
      <c r="R340" s="25">
        <f>'Fiscal Forecasts'!R$180</f>
        <v>0.09</v>
      </c>
      <c r="S340" s="25">
        <f>'Fiscal Forecasts'!S$180</f>
        <v>9.2999999999999999E-2</v>
      </c>
      <c r="T340" s="26">
        <f t="shared" ref="T340:AC340" ca="1" si="194">S$340*T$11/S$11</f>
        <v>9.7130376671752686E-2</v>
      </c>
      <c r="U340" s="26">
        <f t="shared" ca="1" si="194"/>
        <v>0.10143622368893522</v>
      </c>
      <c r="V340" s="26">
        <f t="shared" ca="1" si="194"/>
        <v>0.10598973817668661</v>
      </c>
      <c r="W340" s="26">
        <f t="shared" ca="1" si="194"/>
        <v>0.11071251778880013</v>
      </c>
      <c r="X340" s="26">
        <f t="shared" ca="1" si="194"/>
        <v>0.11563007428425247</v>
      </c>
      <c r="Y340" s="26">
        <f t="shared" ca="1" si="194"/>
        <v>0.12070662264187636</v>
      </c>
      <c r="Z340" s="26">
        <f t="shared" ca="1" si="194"/>
        <v>0.12593182505526812</v>
      </c>
      <c r="AA340" s="26">
        <f t="shared" ca="1" si="194"/>
        <v>0.13130935773807617</v>
      </c>
      <c r="AB340" s="26">
        <f t="shared" ca="1" si="194"/>
        <v>0.13681845519898977</v>
      </c>
      <c r="AC340" s="26">
        <f t="shared" ca="1" si="194"/>
        <v>0.14248782927148837</v>
      </c>
      <c r="AD340" s="26"/>
      <c r="AE340" s="26"/>
    </row>
    <row r="341" spans="1:31" x14ac:dyDescent="0.2">
      <c r="A341" s="31" t="s">
        <v>598</v>
      </c>
      <c r="B341" s="4" t="str">
        <f>$B$46</f>
        <v>From Fiscal Forecasts</v>
      </c>
      <c r="F341" s="23">
        <f>'Fiscal Forecasts'!F$30</f>
        <v>9.9000000000000005E-2</v>
      </c>
      <c r="G341" s="23">
        <f>'Fiscal Forecasts'!G$30</f>
        <v>0.35600000000000004</v>
      </c>
      <c r="H341" s="23">
        <f>'Fiscal Forecasts'!H$30</f>
        <v>0.21199999999999999</v>
      </c>
      <c r="I341" s="23">
        <f>'Fiscal Forecasts'!I$30</f>
        <v>0.22700000000000001</v>
      </c>
      <c r="J341" s="23">
        <f>'Fiscal Forecasts'!J$30</f>
        <v>0.23699999999999999</v>
      </c>
      <c r="K341" s="23">
        <f>'Fiscal Forecasts'!K$30</f>
        <v>0.23300000000000001</v>
      </c>
      <c r="L341" s="23">
        <f>'Fiscal Forecasts'!L$30</f>
        <v>0.39500000000000002</v>
      </c>
      <c r="M341" s="23">
        <f>'Fiscal Forecasts'!M$30</f>
        <v>0.36</v>
      </c>
      <c r="N341" s="23">
        <f>'Fiscal Forecasts'!N$30</f>
        <v>1.028</v>
      </c>
      <c r="O341" s="25">
        <f>'Fiscal Forecasts'!O$30</f>
        <v>0.26600000000000001</v>
      </c>
      <c r="P341" s="25">
        <f>'Fiscal Forecasts'!P$30</f>
        <v>0.27900000000000003</v>
      </c>
      <c r="Q341" s="25">
        <f>'Fiscal Forecasts'!Q$30</f>
        <v>0.27900000000000003</v>
      </c>
      <c r="R341" s="25">
        <f>'Fiscal Forecasts'!R$30</f>
        <v>0.28100000000000003</v>
      </c>
      <c r="S341" s="25">
        <f>'Fiscal Forecasts'!S$30</f>
        <v>0.28299999999999997</v>
      </c>
      <c r="T341" s="26">
        <f t="shared" ref="T341:AC341" ca="1" si="195">S$341*T$11/S$11</f>
        <v>0.2955687806247958</v>
      </c>
      <c r="U341" s="26">
        <f t="shared" ca="1" si="195"/>
        <v>0.30867151939751253</v>
      </c>
      <c r="V341" s="26">
        <f t="shared" ca="1" si="195"/>
        <v>0.32252791294626137</v>
      </c>
      <c r="W341" s="26">
        <f t="shared" ca="1" si="195"/>
        <v>0.33689938208849934</v>
      </c>
      <c r="X341" s="26">
        <f t="shared" ca="1" si="195"/>
        <v>0.35186355938111236</v>
      </c>
      <c r="Y341" s="26">
        <f t="shared" ca="1" si="195"/>
        <v>0.36731155061990328</v>
      </c>
      <c r="Z341" s="26">
        <f t="shared" ca="1" si="195"/>
        <v>0.38321189774882664</v>
      </c>
      <c r="AA341" s="26">
        <f t="shared" ca="1" si="195"/>
        <v>0.39957578752554368</v>
      </c>
      <c r="AB341" s="26">
        <f t="shared" ca="1" si="195"/>
        <v>0.41634003033671085</v>
      </c>
      <c r="AC341" s="26">
        <f t="shared" ca="1" si="195"/>
        <v>0.43359199660033554</v>
      </c>
      <c r="AD341" s="26"/>
      <c r="AE341" s="26"/>
    </row>
    <row r="342" spans="1:31" x14ac:dyDescent="0.2">
      <c r="A342" s="31"/>
      <c r="B342" s="4"/>
      <c r="AD342" s="26"/>
      <c r="AE342" s="26"/>
    </row>
    <row r="343" spans="1:31" x14ac:dyDescent="0.2">
      <c r="A343" s="3" t="s">
        <v>820</v>
      </c>
      <c r="B343" s="4" t="str">
        <f>$B$46</f>
        <v>From Fiscal Forecasts</v>
      </c>
      <c r="F343" s="71">
        <f>'Fiscal Forecasts'!F$182/3</f>
        <v>0.3726666666666667</v>
      </c>
      <c r="G343" s="21">
        <f>'Fiscal Forecasts'!G$182-G$344</f>
        <v>0.37566666666666659</v>
      </c>
      <c r="H343" s="21">
        <f>'Fiscal Forecasts'!H$182-H$344</f>
        <v>1.1176666666666666</v>
      </c>
      <c r="I343" s="21">
        <f>'Fiscal Forecasts'!I$182-I$344</f>
        <v>1.8986666666666663</v>
      </c>
      <c r="J343" s="21">
        <f>'Fiscal Forecasts'!J$182-J$344</f>
        <v>2.1516666666666664</v>
      </c>
      <c r="K343" s="21">
        <f>'Fiscal Forecasts'!K$182-K$344</f>
        <v>2.5296666666666665</v>
      </c>
      <c r="L343" s="21">
        <f>'Fiscal Forecasts'!L$182-L$344</f>
        <v>5.5096666666666669</v>
      </c>
      <c r="M343" s="21">
        <f>'Fiscal Forecasts'!M$182-M$344</f>
        <v>3.0406666666666666</v>
      </c>
      <c r="N343" s="21">
        <f>'Fiscal Forecasts'!N$182-N$344</f>
        <v>1.4646666666666661</v>
      </c>
      <c r="O343" s="24">
        <f>'Fiscal Forecasts'!O$182-O$344</f>
        <v>2.9046666666666656</v>
      </c>
      <c r="P343" s="24">
        <f>'Fiscal Forecasts'!P$182-P$344</f>
        <v>3.0086666666666666</v>
      </c>
      <c r="Q343" s="24">
        <f>'Fiscal Forecasts'!Q$182-Q$344</f>
        <v>3.6406666666666663</v>
      </c>
      <c r="R343" s="24">
        <f>'Fiscal Forecasts'!R$182-R$344</f>
        <v>4.3066666666666666</v>
      </c>
      <c r="S343" s="24">
        <f>'Fiscal Forecasts'!S$182-S$344</f>
        <v>5.0156666666666672</v>
      </c>
      <c r="T343" s="26">
        <f ca="1">IF(T$4=OFFSET(Choices!$B$10,0,$C$1),AVERAGE(Q$343/Q$368,R$343/R$368,S$343/S$368),S$343/S$368)*T$368</f>
        <v>4.8465820090012439</v>
      </c>
      <c r="U343" s="26">
        <f ca="1">IF(U$4=OFFSET(Choices!$B$10,0,$C$1),AVERAGE(R$343/R$368,S$343/S$368,T$343/T$368),T$343/T$368)*U$368</f>
        <v>5.1301118925178573</v>
      </c>
      <c r="V343" s="26">
        <f ca="1">IF(V$4=OFFSET(Choices!$B$10,0,$C$1),AVERAGE(S$343/S$368,T$343/T$368,U$343/U$368),U$343/U$368)*V$368</f>
        <v>5.7650689484034405</v>
      </c>
      <c r="W343" s="26">
        <f ca="1">IF(W$4=OFFSET(Choices!$B$10,0,$C$1),AVERAGE(T$343/T$368,U$343/U$368,V$343/V$368),V$343/V$368)*W$368</f>
        <v>6.416214345519613</v>
      </c>
      <c r="X343" s="26">
        <f ca="1">IF(X$4=OFFSET(Choices!$B$10,0,$C$1),AVERAGE(U$343/U$368,V$343/V$368,W$343/W$368),W$343/W$368)*X$368</f>
        <v>7.0823518630692686</v>
      </c>
      <c r="Y343" s="26">
        <f ca="1">IF(Y$4=OFFSET(Choices!$B$10,0,$C$1),AVERAGE(V$343/V$368,W$343/W$368,X$343/X$368),X$343/X$368)*Y$368</f>
        <v>7.7581350081040208</v>
      </c>
      <c r="Z343" s="26">
        <f ca="1">IF(Z$4=OFFSET(Choices!$B$10,0,$C$1),AVERAGE(W$343/W$368,X$343/X$368,Y$343/Y$368),Y$343/Y$368)*Z$368</f>
        <v>8.4387389539014919</v>
      </c>
      <c r="AA343" s="26">
        <f ca="1">IF(AA$4=OFFSET(Choices!$B$10,0,$C$1),AVERAGE(X$343/X$368,Y$343/Y$368,Z$343/Z$368),Z$343/Z$368)*AA$368</f>
        <v>9.1232508328569129</v>
      </c>
      <c r="AB343" s="26">
        <f ca="1">IF(AB$4=OFFSET(Choices!$B$10,0,$C$1),AVERAGE(Y$343/Y$368,Z$343/Z$368,AA$343/AA$368),AA$343/AA$368)*AB$368</f>
        <v>9.8115432692983067</v>
      </c>
      <c r="AC343" s="26">
        <f ca="1">IF(AC$4=OFFSET(Choices!$B$10,0,$C$1),AVERAGE(Z$343/Z$368,AA$343/AA$368,AB$343/AB$368),AB$343/AB$368)*AC$368</f>
        <v>10.508280237711244</v>
      </c>
      <c r="AD343" s="26"/>
      <c r="AE343" s="26"/>
    </row>
    <row r="344" spans="1:31" x14ac:dyDescent="0.2">
      <c r="A344" s="3" t="s">
        <v>747</v>
      </c>
      <c r="B344" s="4"/>
      <c r="F344" s="71">
        <f>2*F$343</f>
        <v>0.7453333333333334</v>
      </c>
      <c r="G344" s="21">
        <f t="shared" ref="G344:N344" si="196">F$344-G$473</f>
        <v>0.4963333333333334</v>
      </c>
      <c r="H344" s="21">
        <f t="shared" si="196"/>
        <v>2.2573333333333334</v>
      </c>
      <c r="I344" s="21">
        <f t="shared" si="196"/>
        <v>3.0743333333333336</v>
      </c>
      <c r="J344" s="21">
        <f t="shared" si="196"/>
        <v>3.9353333333333333</v>
      </c>
      <c r="K344" s="21">
        <f t="shared" si="196"/>
        <v>4.2263333333333337</v>
      </c>
      <c r="L344" s="21">
        <f t="shared" si="196"/>
        <v>5.5373333333333337</v>
      </c>
      <c r="M344" s="21">
        <f t="shared" si="196"/>
        <v>5.1863333333333337</v>
      </c>
      <c r="N344" s="21">
        <f t="shared" si="196"/>
        <v>7.5673333333333339</v>
      </c>
      <c r="O344" s="24">
        <f>N$344-O$473</f>
        <v>7.6243333333333343</v>
      </c>
      <c r="P344" s="24">
        <f>O$344-P$473</f>
        <v>7.6283333333333339</v>
      </c>
      <c r="Q344" s="24">
        <f>P$344-Q$473</f>
        <v>7.6323333333333334</v>
      </c>
      <c r="R344" s="24">
        <f>Q$344-R$473</f>
        <v>7.6383333333333336</v>
      </c>
      <c r="S344" s="24">
        <f>R$344-S$473</f>
        <v>7.6433333333333335</v>
      </c>
      <c r="T344" s="26">
        <f ca="1">(S$344/S$11+IF(T$1&gt;0,T$1*IF(T$4=OFFSET(Choices!$B$10,0,$C$1),SUMPRODUCT(OFFSET(S$344,0,0,1,-OFFSET(Choices!$B$59,0,$C$1)),OFFSET(S$13,0,0,1,-OFFSET(Choices!$B$59,0,$C$1)))/OFFSET(Choices!$B$59,0,$C$1)-S$344/S$11,(S$344/S$11-R$344/R$11)/S$1),0))*T$11</f>
        <v>8.0983450587464727</v>
      </c>
      <c r="U344" s="26">
        <f ca="1">(T$344/T$11+IF(U$1&gt;0,U$1*IF(U$4=OFFSET(Choices!$B$10,0,$C$1),SUMPRODUCT(OFFSET(T$344,0,0,1,-OFFSET(Choices!$B$59,0,$C$1)),OFFSET(T$13,0,0,1,-OFFSET(Choices!$B$59,0,$C$1)))/OFFSET(Choices!$B$59,0,$C$1)-T$344/T$11,(T$344/T$11-S$344/S$11)/T$1),0))*U$11</f>
        <v>8.5538882537986485</v>
      </c>
      <c r="V344" s="26">
        <f ca="1">(U$344/U$11+IF(V$1&gt;0,V$1*IF(V$4=OFFSET(Choices!$B$10,0,$C$1),SUMPRODUCT(OFFSET(U$344,0,0,1,-OFFSET(Choices!$B$59,0,$C$1)),OFFSET(U$13,0,0,1,-OFFSET(Choices!$B$59,0,$C$1)))/OFFSET(Choices!$B$59,0,$C$1)-U$344/U$11,(U$344/U$11-T$344/T$11)/U$1),0))*V$11</f>
        <v>9.0135302012948149</v>
      </c>
      <c r="W344" s="26">
        <f ca="1">(V$344/V$11+IF(W$1&gt;0,W$1*IF(W$4=OFFSET(Choices!$B$10,0,$C$1),SUMPRODUCT(OFFSET(V$344,0,0,1,-OFFSET(Choices!$B$59,0,$C$1)),OFFSET(V$13,0,0,1,-OFFSET(Choices!$B$59,0,$C$1)))/OFFSET(Choices!$B$59,0,$C$1)-V$344/V$11,(V$344/V$11-U$344/U$11)/V$1),0))*W$11</f>
        <v>9.4678462344706791</v>
      </c>
      <c r="X344" s="26">
        <f ca="1">(W$344/W$11+IF(X$1&gt;0,X$1*IF(X$4=OFFSET(Choices!$B$10,0,$C$1),SUMPRODUCT(OFFSET(W$344,0,0,1,-OFFSET(Choices!$B$59,0,$C$1)),OFFSET(W$13,0,0,1,-OFFSET(Choices!$B$59,0,$C$1)))/OFFSET(Choices!$B$59,0,$C$1)-W$344/W$11,(W$344/W$11-V$344/V$11)/W$1),0))*X$11</f>
        <v>9.9158946927938487</v>
      </c>
      <c r="Y344" s="26">
        <f ca="1">(X$344/X$11+IF(Y$1&gt;0,Y$1*IF(Y$4=OFFSET(Choices!$B$10,0,$C$1),SUMPRODUCT(OFFSET(X$344,0,0,1,-OFFSET(Choices!$B$59,0,$C$1)),OFFSET(X$13,0,0,1,-OFFSET(Choices!$B$59,0,$C$1)))/OFFSET(Choices!$B$59,0,$C$1)-X$344/X$11,(X$344/X$11-W$344/W$11)/X$1),0))*Y$11</f>
        <v>10.351235751153176</v>
      </c>
      <c r="Z344" s="26">
        <f ca="1">(Y$344/Y$11+IF(Z$1&gt;0,Z$1*IF(Z$4=OFFSET(Choices!$B$10,0,$C$1),SUMPRODUCT(OFFSET(Y$344,0,0,1,-OFFSET(Choices!$B$59,0,$C$1)),OFFSET(Y$13,0,0,1,-OFFSET(Choices!$B$59,0,$C$1)))/OFFSET(Choices!$B$59,0,$C$1)-Y$344/Y$11,(Y$344/Y$11-X$344/X$11)/Y$1),0))*Z$11</f>
        <v>10.799324686496716</v>
      </c>
      <c r="AA344" s="26">
        <f ca="1">(Z$344/Z$11+IF(AA$1&gt;0,AA$1*IF(AA$4=OFFSET(Choices!$B$10,0,$C$1),SUMPRODUCT(OFFSET(Z$344,0,0,1,-OFFSET(Choices!$B$59,0,$C$1)),OFFSET(Z$13,0,0,1,-OFFSET(Choices!$B$59,0,$C$1)))/OFFSET(Choices!$B$59,0,$C$1)-Z$344/Z$11,(Z$344/Z$11-Y$344/Y$11)/Z$1),0))*AA$11</f>
        <v>11.260476753723607</v>
      </c>
      <c r="AB344" s="26">
        <f ca="1">(AA$344/AA$11+IF(AB$1&gt;0,AB$1*IF(AB$4=OFFSET(Choices!$B$10,0,$C$1),SUMPRODUCT(OFFSET(AA$344,0,0,1,-OFFSET(Choices!$B$59,0,$C$1)),OFFSET(AA$13,0,0,1,-OFFSET(Choices!$B$59,0,$C$1)))/OFFSET(Choices!$B$59,0,$C$1)-AA$344/AA$11,(AA$344/AA$11-Z$344/Z$11)/AA$1),0))*AB$11</f>
        <v>11.732911201361048</v>
      </c>
      <c r="AC344" s="26">
        <f ca="1">(AB$344/AB$11+IF(AC$1&gt;0,AC$1*IF(AC$4=OFFSET(Choices!$B$10,0,$C$1),SUMPRODUCT(OFFSET(AB$344,0,0,1,-OFFSET(Choices!$B$59,0,$C$1)),OFFSET(AB$13,0,0,1,-OFFSET(Choices!$B$59,0,$C$1)))/OFFSET(Choices!$B$59,0,$C$1)-AB$344/AB$11,(AB$344/AB$11-AA$344/AA$11)/AB$1),0))*AC$11</f>
        <v>12.219090222043455</v>
      </c>
      <c r="AD344" s="26"/>
      <c r="AE344" s="26"/>
    </row>
    <row r="345" spans="1:31" x14ac:dyDescent="0.2">
      <c r="A345" s="31" t="s">
        <v>599</v>
      </c>
      <c r="B345" s="4"/>
      <c r="F345" s="56">
        <f>SUM(F$343:F$344)</f>
        <v>1.1180000000000001</v>
      </c>
      <c r="G345" s="56">
        <f t="shared" ref="G345:AC345" si="197">SUM(G$343:G$344)</f>
        <v>0.872</v>
      </c>
      <c r="H345" s="56">
        <f t="shared" si="197"/>
        <v>3.375</v>
      </c>
      <c r="I345" s="56">
        <f t="shared" si="197"/>
        <v>4.9729999999999999</v>
      </c>
      <c r="J345" s="56">
        <f t="shared" si="197"/>
        <v>6.0869999999999997</v>
      </c>
      <c r="K345" s="56">
        <f t="shared" si="197"/>
        <v>6.7560000000000002</v>
      </c>
      <c r="L345" s="56">
        <f t="shared" si="197"/>
        <v>11.047000000000001</v>
      </c>
      <c r="M345" s="56">
        <f t="shared" si="197"/>
        <v>8.2270000000000003</v>
      </c>
      <c r="N345" s="56">
        <f t="shared" si="197"/>
        <v>9.032</v>
      </c>
      <c r="O345" s="57">
        <f t="shared" si="197"/>
        <v>10.529</v>
      </c>
      <c r="P345" s="57">
        <f t="shared" si="197"/>
        <v>10.637</v>
      </c>
      <c r="Q345" s="57">
        <f t="shared" si="197"/>
        <v>11.273</v>
      </c>
      <c r="R345" s="57">
        <f t="shared" si="197"/>
        <v>11.945</v>
      </c>
      <c r="S345" s="57">
        <f t="shared" si="197"/>
        <v>12.659000000000001</v>
      </c>
      <c r="T345" s="58">
        <f t="shared" ca="1" si="197"/>
        <v>12.944927067747717</v>
      </c>
      <c r="U345" s="58">
        <f t="shared" ca="1" si="197"/>
        <v>13.684000146316507</v>
      </c>
      <c r="V345" s="58">
        <f t="shared" ca="1" si="197"/>
        <v>14.778599149698255</v>
      </c>
      <c r="W345" s="58">
        <f t="shared" ca="1" si="197"/>
        <v>15.884060579990292</v>
      </c>
      <c r="X345" s="58">
        <f t="shared" ca="1" si="197"/>
        <v>16.998246555863119</v>
      </c>
      <c r="Y345" s="58">
        <f t="shared" ca="1" si="197"/>
        <v>18.109370759257196</v>
      </c>
      <c r="Z345" s="58">
        <f t="shared" ca="1" si="197"/>
        <v>19.238063640398209</v>
      </c>
      <c r="AA345" s="58">
        <f t="shared" ca="1" si="197"/>
        <v>20.38372758658052</v>
      </c>
      <c r="AB345" s="58">
        <f t="shared" ca="1" si="197"/>
        <v>21.544454470659353</v>
      </c>
      <c r="AC345" s="58">
        <f t="shared" ca="1" si="197"/>
        <v>22.727370459754699</v>
      </c>
      <c r="AD345" s="26"/>
      <c r="AE345" s="26"/>
    </row>
    <row r="346" spans="1:31" x14ac:dyDescent="0.2">
      <c r="A346" s="31" t="s">
        <v>600</v>
      </c>
      <c r="B346" s="4" t="str">
        <f>$B$46</f>
        <v>From Fiscal Forecasts</v>
      </c>
      <c r="F346" s="23">
        <f>'Fiscal Forecasts'!F$113</f>
        <v>4.1630000000000003</v>
      </c>
      <c r="G346" s="23">
        <f>'Fiscal Forecasts'!G$113</f>
        <v>3.8039999999999998</v>
      </c>
      <c r="H346" s="23">
        <f>'Fiscal Forecasts'!H$113</f>
        <v>6.2679999999999998</v>
      </c>
      <c r="I346" s="23">
        <f>'Fiscal Forecasts'!I$113</f>
        <v>7.774</v>
      </c>
      <c r="J346" s="23">
        <f>'Fiscal Forecasts'!J$113</f>
        <v>9.8010000000000002</v>
      </c>
      <c r="K346" s="23">
        <f>'Fiscal Forecasts'!K$113</f>
        <v>10.686</v>
      </c>
      <c r="L346" s="23">
        <f>'Fiscal Forecasts'!L$113</f>
        <v>14.923999999999999</v>
      </c>
      <c r="M346" s="23">
        <f>'Fiscal Forecasts'!M$113</f>
        <v>11.888</v>
      </c>
      <c r="N346" s="23">
        <f>'Fiscal Forecasts'!N$113</f>
        <v>11.981999999999999</v>
      </c>
      <c r="O346" s="25">
        <f>'Fiscal Forecasts'!O$113</f>
        <v>14.157999999999999</v>
      </c>
      <c r="P346" s="25">
        <f>'Fiscal Forecasts'!P$113</f>
        <v>14.105</v>
      </c>
      <c r="Q346" s="25">
        <f>'Fiscal Forecasts'!Q$113</f>
        <v>14.673999999999999</v>
      </c>
      <c r="R346" s="25">
        <f>'Fiscal Forecasts'!R$113</f>
        <v>15.784000000000001</v>
      </c>
      <c r="S346" s="25">
        <f>'Fiscal Forecasts'!S$113</f>
        <v>16.995999999999999</v>
      </c>
      <c r="T346" s="11">
        <f ca="1">((S$346-S$345)/S$11+IF(T$1&gt;0,T$1*IF(T$4=OFFSET(Choices!$B$10,0,$C$1),(SUMPRODUCT(OFFSET(S$346,0,0,1,-OFFSET(Choices!$B$59,0,$C$1)),OFFSET(S$13,0,0,1,-OFFSET(Choices!$B$59,0,$C$1)))-SUMPRODUCT(OFFSET(S$345,0,0,1,-OFFSET(Choices!$B$59,0,$C$1)),OFFSET(S$13,0,0,1,-OFFSET(Choices!$B$59,0,$C$1))))/OFFSET(Choices!$B$59,0,$C$1)-(S$346-S$345)/S$11,((S$346-S$345)/S$11-(R$346-R$345)/R$11)/S$1),0))*T$11 +T$345</f>
        <v>17.362478600001349</v>
      </c>
      <c r="U346" s="11">
        <f ca="1">((T$346-T$345)/T$11+IF(U$1&gt;0,U$1*IF(U$4=OFFSET(Choices!$B$10,0,$C$1),(SUMPRODUCT(OFFSET(T$346,0,0,1,-OFFSET(Choices!$B$59,0,$C$1)),OFFSET(T$13,0,0,1,-OFFSET(Choices!$B$59,0,$C$1)))-SUMPRODUCT(OFFSET(T$345,0,0,1,-OFFSET(Choices!$B$59,0,$C$1)),OFFSET(T$13,0,0,1,-OFFSET(Choices!$B$59,0,$C$1))))/OFFSET(Choices!$B$59,0,$C$1)-(T$346-T$345)/T$11,((T$346-T$345)/T$11-(S$346-S$345)/S$11)/T$1),0))*U$11 +U$345</f>
        <v>18.203757069924031</v>
      </c>
      <c r="V346" s="11">
        <f ca="1">((U$346-U$345)/U$11+IF(V$1&gt;0,V$1*IF(V$4=OFFSET(Choices!$B$10,0,$C$1),(SUMPRODUCT(OFFSET(U$346,0,0,1,-OFFSET(Choices!$B$59,0,$C$1)),OFFSET(U$13,0,0,1,-OFFSET(Choices!$B$59,0,$C$1)))-SUMPRODUCT(OFFSET(U$345,0,0,1,-OFFSET(Choices!$B$59,0,$C$1)),OFFSET(U$13,0,0,1,-OFFSET(Choices!$B$59,0,$C$1))))/OFFSET(Choices!$B$59,0,$C$1)-(U$346-U$345)/U$11,((U$346-U$345)/U$11-(T$346-T$345)/T$11)/U$1),0))*V$11 +V$345</f>
        <v>19.427877165688884</v>
      </c>
      <c r="W346" s="11">
        <f ca="1">((V$346-V$345)/V$11+IF(W$1&gt;0,W$1*IF(W$4=OFFSET(Choices!$B$10,0,$C$1),(SUMPRODUCT(OFFSET(V$346,0,0,1,-OFFSET(Choices!$B$59,0,$C$1)),OFFSET(V$13,0,0,1,-OFFSET(Choices!$B$59,0,$C$1)))-SUMPRODUCT(OFFSET(V$345,0,0,1,-OFFSET(Choices!$B$59,0,$C$1)),OFFSET(V$13,0,0,1,-OFFSET(Choices!$B$59,0,$C$1))))/OFFSET(Choices!$B$59,0,$C$1)-(V$346-V$345)/V$11,((V$346-V$345)/V$11-(U$346-U$345)/U$11)/V$1),0))*W$11 +W$345</f>
        <v>20.689410298907859</v>
      </c>
      <c r="X346" s="11">
        <f ca="1">((W$346-W$345)/W$11+IF(X$1&gt;0,X$1*IF(X$4=OFFSET(Choices!$B$10,0,$C$1),(SUMPRODUCT(OFFSET(W$346,0,0,1,-OFFSET(Choices!$B$59,0,$C$1)),OFFSET(W$13,0,0,1,-OFFSET(Choices!$B$59,0,$C$1)))-SUMPRODUCT(OFFSET(W$345,0,0,1,-OFFSET(Choices!$B$59,0,$C$1)),OFFSET(W$13,0,0,1,-OFFSET(Choices!$B$59,0,$C$1))))/OFFSET(Choices!$B$59,0,$C$1)-(W$346-W$345)/W$11,((W$346-W$345)/W$11-(V$346-V$345)/V$11)/W$1),0))*X$11 +X$345</f>
        <v>21.990355059865433</v>
      </c>
      <c r="Y346" s="11">
        <f ca="1">((X$346-X$345)/X$11+IF(Y$1&gt;0,Y$1*IF(Y$4=OFFSET(Choices!$B$10,0,$C$1),(SUMPRODUCT(OFFSET(X$346,0,0,1,-OFFSET(Choices!$B$59,0,$C$1)),OFFSET(X$13,0,0,1,-OFFSET(Choices!$B$59,0,$C$1)))-SUMPRODUCT(OFFSET(X$345,0,0,1,-OFFSET(Choices!$B$59,0,$C$1)),OFFSET(X$13,0,0,1,-OFFSET(Choices!$B$59,0,$C$1))))/OFFSET(Choices!$B$59,0,$C$1)-(X$346-X$345)/X$11,((X$346-X$345)/X$11-(W$346-W$345)/W$11)/X$1),0))*Y$11 +Y$345</f>
        <v>23.320649581915308</v>
      </c>
      <c r="Z346" s="11">
        <f ca="1">((Y$346-Y$345)/Y$11+IF(Z$1&gt;0,Z$1*IF(Z$4=OFFSET(Choices!$B$10,0,$C$1),(SUMPRODUCT(OFFSET(Y$346,0,0,1,-OFFSET(Choices!$B$59,0,$C$1)),OFFSET(Y$13,0,0,1,-OFFSET(Choices!$B$59,0,$C$1)))-SUMPRODUCT(OFFSET(Y$345,0,0,1,-OFFSET(Choices!$B$59,0,$C$1)),OFFSET(Y$13,0,0,1,-OFFSET(Choices!$B$59,0,$C$1))))/OFFSET(Choices!$B$59,0,$C$1)-(Y$346-Y$345)/Y$11,((Y$346-Y$345)/Y$11-(X$346-X$345)/X$11)/Y$1),0))*Z$11 +Z$345</f>
        <v>24.674930637797978</v>
      </c>
      <c r="AA346" s="11">
        <f ca="1">((Z$346-Z$345)/Z$11+IF(AA$1&gt;0,AA$1*IF(AA$4=OFFSET(Choices!$B$10,0,$C$1),(SUMPRODUCT(OFFSET(Z$346,0,0,1,-OFFSET(Choices!$B$59,0,$C$1)),OFFSET(Z$13,0,0,1,-OFFSET(Choices!$B$59,0,$C$1)))-SUMPRODUCT(OFFSET(Z$345,0,0,1,-OFFSET(Choices!$B$59,0,$C$1)),OFFSET(Z$13,0,0,1,-OFFSET(Choices!$B$59,0,$C$1))))/OFFSET(Choices!$B$59,0,$C$1)-(Z$346-Z$345)/Z$11,((Z$346-Z$345)/Z$11-(Y$346-Y$345)/Y$11)/Z$1),0))*AA$11 +AA$345</f>
        <v>26.052759328339121</v>
      </c>
      <c r="AB346" s="11">
        <f ca="1">((AA$346-AA$345)/AA$11+IF(AB$1&gt;0,AB$1*IF(AB$4=OFFSET(Choices!$B$10,0,$C$1),(SUMPRODUCT(OFFSET(AA$346,0,0,1,-OFFSET(Choices!$B$59,0,$C$1)),OFFSET(AA$13,0,0,1,-OFFSET(Choices!$B$59,0,$C$1)))-SUMPRODUCT(OFFSET(AA$345,0,0,1,-OFFSET(Choices!$B$59,0,$C$1)),OFFSET(AA$13,0,0,1,-OFFSET(Choices!$B$59,0,$C$1))))/OFFSET(Choices!$B$59,0,$C$1)-(AA$346-AA$345)/AA$11,((AA$346-AA$345)/AA$11-(Z$346-Z$345)/Z$11)/AA$1),0))*AB$11 +AB$345</f>
        <v>27.45133101580705</v>
      </c>
      <c r="AC346" s="11">
        <f ca="1">((AB$346-AB$345)/AB$11+IF(AC$1&gt;0,AC$1*IF(AC$4=OFFSET(Choices!$B$10,0,$C$1),(SUMPRODUCT(OFFSET(AB$346,0,0,1,-OFFSET(Choices!$B$59,0,$C$1)),OFFSET(AB$13,0,0,1,-OFFSET(Choices!$B$59,0,$C$1)))-SUMPRODUCT(OFFSET(AB$345,0,0,1,-OFFSET(Choices!$B$59,0,$C$1)),OFFSET(AB$13,0,0,1,-OFFSET(Choices!$B$59,0,$C$1))))/OFFSET(Choices!$B$59,0,$C$1)-(AB$346-AB$345)/AB$11,((AB$346-AB$345)/AB$11-(AA$346-AA$345)/AA$11)/AB$1),0))*AC$11 +AC$345</f>
        <v>28.879011446116152</v>
      </c>
      <c r="AD346" s="26"/>
      <c r="AE346" s="26"/>
    </row>
    <row r="347" spans="1:31" x14ac:dyDescent="0.2">
      <c r="A347" s="31"/>
      <c r="B347" s="4"/>
      <c r="AD347" s="26"/>
      <c r="AE347" s="26"/>
    </row>
    <row r="348" spans="1:31" x14ac:dyDescent="0.2">
      <c r="A348" s="3" t="s">
        <v>821</v>
      </c>
      <c r="B348" s="4"/>
      <c r="F348" s="21">
        <f t="shared" ref="F348:S348" si="198">F$370-F$91</f>
        <v>1</v>
      </c>
      <c r="G348" s="21">
        <f t="shared" si="198"/>
        <v>0.85700000000000109</v>
      </c>
      <c r="H348" s="21">
        <f t="shared" si="198"/>
        <v>1.391</v>
      </c>
      <c r="I348" s="21">
        <f t="shared" si="198"/>
        <v>1.3629999999999995</v>
      </c>
      <c r="J348" s="21">
        <f t="shared" si="198"/>
        <v>2.5280000000000022</v>
      </c>
      <c r="K348" s="21">
        <f t="shared" si="198"/>
        <v>1.6189999999999998</v>
      </c>
      <c r="L348" s="21">
        <f t="shared" si="198"/>
        <v>2.0120000000000005</v>
      </c>
      <c r="M348" s="21">
        <f t="shared" si="198"/>
        <v>1.232999999999997</v>
      </c>
      <c r="N348" s="21">
        <f t="shared" si="198"/>
        <v>1.5050000000000026</v>
      </c>
      <c r="O348" s="24">
        <f t="shared" si="198"/>
        <v>2.0819999999999972</v>
      </c>
      <c r="P348" s="24">
        <f t="shared" si="198"/>
        <v>1.9579999999999984</v>
      </c>
      <c r="Q348" s="24">
        <f t="shared" si="198"/>
        <v>2.0039999999999978</v>
      </c>
      <c r="R348" s="24">
        <f t="shared" si="198"/>
        <v>2.0510000000000019</v>
      </c>
      <c r="S348" s="24">
        <f t="shared" si="198"/>
        <v>2.1000000000000014</v>
      </c>
      <c r="T348" s="26">
        <f ca="1">IF(T$4=OFFSET(Choices!$B$10,0,$C$1),AVERAGE(Q$348/Q$368,R$348/R$368,S$348/S$368),S$348/S$368)*T$368</f>
        <v>2.3148008425513318</v>
      </c>
      <c r="U348" s="26">
        <f ca="1">IF(U$4=OFFSET(Choices!$B$10,0,$C$1),AVERAGE(R$348/R$368,S$348/S$368,T$348/T$368),T$348/T$368)*U$368</f>
        <v>2.4502190015825431</v>
      </c>
      <c r="V348" s="26">
        <f ca="1">IF(V$4=OFFSET(Choices!$B$10,0,$C$1),AVERAGE(S$348/S$368,T$348/T$368,U$348/U$368),U$348/U$368)*V$368</f>
        <v>2.7534840913340619</v>
      </c>
      <c r="W348" s="26">
        <f ca="1">IF(W$4=OFFSET(Choices!$B$10,0,$C$1),AVERAGE(T$348/T$368,U$348/U$368,V$348/V$368),V$348/V$368)*W$368</f>
        <v>3.0644809776074355</v>
      </c>
      <c r="X348" s="26">
        <f ca="1">IF(X$4=OFFSET(Choices!$B$10,0,$C$1),AVERAGE(U$348/U$368,V$348/V$368,W$348/W$368),W$348/W$368)*X$368</f>
        <v>3.3826383272644063</v>
      </c>
      <c r="Y348" s="26">
        <f ca="1">IF(Y$4=OFFSET(Choices!$B$10,0,$C$1),AVERAGE(V$348/V$368,W$348/W$368,X$348/X$368),X$348/X$368)*Y$368</f>
        <v>3.7054025744396641</v>
      </c>
      <c r="Z348" s="26">
        <f ca="1">IF(Z$4=OFFSET(Choices!$B$10,0,$C$1),AVERAGE(W$348/W$368,X$348/X$368,Y$348/Y$368),Y$348/Y$368)*Z$368</f>
        <v>4.0304693089444639</v>
      </c>
      <c r="AA348" s="26">
        <f ca="1">IF(AA$4=OFFSET(Choices!$B$10,0,$C$1),AVERAGE(X$348/X$368,Y$348/Y$368,Z$348/Z$368),Z$348/Z$368)*AA$368</f>
        <v>4.3574025314092024</v>
      </c>
      <c r="AB348" s="26">
        <f ca="1">IF(AB$4=OFFSET(Choices!$B$10,0,$C$1),AVERAGE(Y$348/Y$368,Z$348/Z$368,AA$348/AA$368),AA$348/AA$368)*AB$368</f>
        <v>4.6861414052871622</v>
      </c>
      <c r="AC348" s="26">
        <f ca="1">IF(AC$4=OFFSET(Choices!$B$10,0,$C$1),AVERAGE(Z$348/Z$368,AA$348/AA$368,AB$348/AB$368),AB$348/AB$368)*AC$368</f>
        <v>5.0189135153068758</v>
      </c>
      <c r="AD348" s="26"/>
      <c r="AE348" s="26"/>
    </row>
    <row r="349" spans="1:31" x14ac:dyDescent="0.2">
      <c r="A349" s="3" t="s">
        <v>603</v>
      </c>
      <c r="B349" s="4" t="str">
        <f>$B$46</f>
        <v>From Fiscal Forecasts</v>
      </c>
      <c r="F349" s="21">
        <f>'Fiscal Forecasts'!F$306</f>
        <v>6.3680000000000003</v>
      </c>
      <c r="G349" s="21">
        <f>'Fiscal Forecasts'!G$306</f>
        <v>7.3979999999999997</v>
      </c>
      <c r="H349" s="21">
        <f>'Fiscal Forecasts'!H$306</f>
        <v>7.649</v>
      </c>
      <c r="I349" s="21">
        <f>'Fiscal Forecasts'!I$306</f>
        <v>6.8639999999999999</v>
      </c>
      <c r="J349" s="21">
        <f>'Fiscal Forecasts'!J$306</f>
        <v>7.1040000000000001</v>
      </c>
      <c r="K349" s="21">
        <f>'Fiscal Forecasts'!K$306</f>
        <v>7.2569999999999997</v>
      </c>
      <c r="L349" s="21">
        <f>'Fiscal Forecasts'!L$306</f>
        <v>8.1839999999999993</v>
      </c>
      <c r="M349" s="21">
        <f>'Fiscal Forecasts'!M$306</f>
        <v>8.7720000000000002</v>
      </c>
      <c r="N349" s="21">
        <f>'Fiscal Forecasts'!N$306</f>
        <v>8.9570000000000007</v>
      </c>
      <c r="O349" s="24">
        <f>'Fiscal Forecasts'!O$306</f>
        <v>8.7319999999999993</v>
      </c>
      <c r="P349" s="24">
        <f>'Fiscal Forecasts'!P$306</f>
        <v>8.93</v>
      </c>
      <c r="Q349" s="24">
        <f>'Fiscal Forecasts'!Q$306</f>
        <v>9.4710000000000001</v>
      </c>
      <c r="R349" s="24">
        <f>'Fiscal Forecasts'!R$306</f>
        <v>10.029999999999999</v>
      </c>
      <c r="S349" s="24">
        <f>'Fiscal Forecasts'!S$306</f>
        <v>10.497999999999999</v>
      </c>
      <c r="T349" s="26">
        <f t="shared" ref="T349:AC349" ca="1" si="199">S$349+T$142-(T$456-T$363)+T$428-S$428-T$267</f>
        <v>10.729207076589285</v>
      </c>
      <c r="U349" s="26">
        <f t="shared" ca="1" si="199"/>
        <v>10.956128780234499</v>
      </c>
      <c r="V349" s="26">
        <f t="shared" ca="1" si="199"/>
        <v>11.197081745087663</v>
      </c>
      <c r="W349" s="26">
        <f t="shared" ca="1" si="199"/>
        <v>11.444468376830196</v>
      </c>
      <c r="X349" s="26">
        <f t="shared" ca="1" si="199"/>
        <v>11.688887694149111</v>
      </c>
      <c r="Y349" s="26">
        <f t="shared" ca="1" si="199"/>
        <v>11.943749475467081</v>
      </c>
      <c r="Z349" s="26">
        <f t="shared" ca="1" si="199"/>
        <v>12.205122128036454</v>
      </c>
      <c r="AA349" s="26">
        <f t="shared" ca="1" si="199"/>
        <v>12.473153649934961</v>
      </c>
      <c r="AB349" s="26">
        <f t="shared" ca="1" si="199"/>
        <v>12.746449371341667</v>
      </c>
      <c r="AC349" s="26">
        <f t="shared" ca="1" si="199"/>
        <v>13.026744947572352</v>
      </c>
      <c r="AD349" s="26"/>
      <c r="AE349" s="26"/>
    </row>
    <row r="350" spans="1:31" x14ac:dyDescent="0.2">
      <c r="A350" s="3" t="s">
        <v>742</v>
      </c>
      <c r="B350" s="4" t="str">
        <f>$B$46</f>
        <v>From Fiscal Forecasts</v>
      </c>
      <c r="F350" s="21">
        <f>'Fiscal Forecasts'!F$183-SUM(F$348:F$349)</f>
        <v>0.22199999999999953</v>
      </c>
      <c r="G350" s="21">
        <f>'Fiscal Forecasts'!G$183-SUM(G$348:G$349)</f>
        <v>0.7759999999999998</v>
      </c>
      <c r="H350" s="21">
        <f>'Fiscal Forecasts'!H$183-SUM(H$348:H$349)</f>
        <v>1.2030000000000012</v>
      </c>
      <c r="I350" s="21">
        <f>'Fiscal Forecasts'!I$183-SUM(I$348:I$349)</f>
        <v>0.54899999999999949</v>
      </c>
      <c r="J350" s="21">
        <f>'Fiscal Forecasts'!J$183-SUM(J$348:J$349)</f>
        <v>1.743999999999998</v>
      </c>
      <c r="K350" s="21">
        <f>'Fiscal Forecasts'!K$183-SUM(K$348:K$349)</f>
        <v>2.0980000000000008</v>
      </c>
      <c r="L350" s="21">
        <f>'Fiscal Forecasts'!L$183-SUM(L$348:L$349)</f>
        <v>1.7279999999999998</v>
      </c>
      <c r="M350" s="21">
        <f>'Fiscal Forecasts'!M$183-SUM(M$348:M$349)</f>
        <v>2.474000000000002</v>
      </c>
      <c r="N350" s="21">
        <f>'Fiscal Forecasts'!N$183-SUM(N$348:N$349)</f>
        <v>1.7089999999999961</v>
      </c>
      <c r="O350" s="24">
        <f>'Fiscal Forecasts'!O$183-SUM(O$348:O$349)</f>
        <v>2.0080000000000027</v>
      </c>
      <c r="P350" s="24">
        <f>'Fiscal Forecasts'!P$183-SUM(P$348:P$349)</f>
        <v>1.7140000000000022</v>
      </c>
      <c r="Q350" s="24">
        <f>'Fiscal Forecasts'!Q$183-SUM(Q$348:Q$349)</f>
        <v>1.7160000000000029</v>
      </c>
      <c r="R350" s="24">
        <f>'Fiscal Forecasts'!R$183-SUM(R$348:R$349)</f>
        <v>1.7679999999999989</v>
      </c>
      <c r="S350" s="24">
        <f>'Fiscal Forecasts'!S$183-SUM(S$348:S$349)</f>
        <v>1.8229999999999986</v>
      </c>
      <c r="T350" s="26">
        <f t="shared" ref="T350:AC350" ca="1" si="200">S$350+T$155+T$168-T$459+T$433-S$433</f>
        <v>1.9219044248374293</v>
      </c>
      <c r="U350" s="26">
        <f t="shared" ca="1" si="200"/>
        <v>2.0251933412959691</v>
      </c>
      <c r="V350" s="26">
        <f t="shared" ca="1" si="200"/>
        <v>2.1331189403952231</v>
      </c>
      <c r="W350" s="26">
        <f t="shared" ca="1" si="200"/>
        <v>2.245853578820542</v>
      </c>
      <c r="X350" s="26">
        <f t="shared" ca="1" si="200"/>
        <v>2.3635955909785094</v>
      </c>
      <c r="Y350" s="26">
        <f t="shared" ca="1" si="200"/>
        <v>2.4865068726551875</v>
      </c>
      <c r="Z350" s="26">
        <f t="shared" ca="1" si="200"/>
        <v>2.614738793014264</v>
      </c>
      <c r="AA350" s="26">
        <f t="shared" ca="1" si="200"/>
        <v>2.7484464645776732</v>
      </c>
      <c r="AB350" s="26">
        <f t="shared" ca="1" si="200"/>
        <v>2.8877638551024978</v>
      </c>
      <c r="AC350" s="26">
        <f t="shared" ca="1" si="200"/>
        <v>3.0328541685896604</v>
      </c>
      <c r="AD350" s="26"/>
      <c r="AE350" s="26"/>
    </row>
    <row r="351" spans="1:31" x14ac:dyDescent="0.2">
      <c r="A351" s="31" t="s">
        <v>601</v>
      </c>
      <c r="B351" s="4"/>
      <c r="F351" s="56">
        <f>SUM(F$348:F$350)</f>
        <v>7.59</v>
      </c>
      <c r="G351" s="56">
        <f t="shared" ref="G351:AC351" si="201">SUM(G$348:G$350)</f>
        <v>9.0310000000000006</v>
      </c>
      <c r="H351" s="56">
        <f t="shared" si="201"/>
        <v>10.243</v>
      </c>
      <c r="I351" s="56">
        <f t="shared" si="201"/>
        <v>8.7759999999999998</v>
      </c>
      <c r="J351" s="56">
        <f t="shared" si="201"/>
        <v>11.375999999999999</v>
      </c>
      <c r="K351" s="56">
        <f t="shared" si="201"/>
        <v>10.974</v>
      </c>
      <c r="L351" s="56">
        <f t="shared" si="201"/>
        <v>11.923999999999999</v>
      </c>
      <c r="M351" s="56">
        <f t="shared" si="201"/>
        <v>12.478999999999999</v>
      </c>
      <c r="N351" s="56">
        <f t="shared" si="201"/>
        <v>12.170999999999999</v>
      </c>
      <c r="O351" s="57">
        <f t="shared" si="201"/>
        <v>12.821999999999999</v>
      </c>
      <c r="P351" s="57">
        <f t="shared" si="201"/>
        <v>12.602</v>
      </c>
      <c r="Q351" s="57">
        <f t="shared" si="201"/>
        <v>13.191000000000001</v>
      </c>
      <c r="R351" s="57">
        <f t="shared" si="201"/>
        <v>13.849</v>
      </c>
      <c r="S351" s="57">
        <f t="shared" si="201"/>
        <v>14.420999999999999</v>
      </c>
      <c r="T351" s="58">
        <f t="shared" ca="1" si="201"/>
        <v>14.965912343978045</v>
      </c>
      <c r="U351" s="58">
        <f t="shared" ca="1" si="201"/>
        <v>15.431541123113011</v>
      </c>
      <c r="V351" s="58">
        <f t="shared" ca="1" si="201"/>
        <v>16.083684776816948</v>
      </c>
      <c r="W351" s="58">
        <f t="shared" ca="1" si="201"/>
        <v>16.754802933258176</v>
      </c>
      <c r="X351" s="58">
        <f t="shared" ca="1" si="201"/>
        <v>17.435121612392027</v>
      </c>
      <c r="Y351" s="58">
        <f t="shared" ca="1" si="201"/>
        <v>18.135658922561934</v>
      </c>
      <c r="Z351" s="58">
        <f t="shared" ca="1" si="201"/>
        <v>18.850330229995183</v>
      </c>
      <c r="AA351" s="58">
        <f t="shared" ca="1" si="201"/>
        <v>19.579002645921836</v>
      </c>
      <c r="AB351" s="58">
        <f t="shared" ca="1" si="201"/>
        <v>20.320354631731327</v>
      </c>
      <c r="AC351" s="58">
        <f t="shared" ca="1" si="201"/>
        <v>21.07851263146889</v>
      </c>
      <c r="AD351" s="26"/>
      <c r="AE351" s="26"/>
    </row>
    <row r="352" spans="1:31" x14ac:dyDescent="0.2">
      <c r="A352" s="31" t="s">
        <v>602</v>
      </c>
      <c r="B352" s="4" t="str">
        <f>$B$46</f>
        <v>From Fiscal Forecasts</v>
      </c>
      <c r="F352" s="23">
        <f>'Fiscal Forecasts'!F$114</f>
        <v>12.058</v>
      </c>
      <c r="G352" s="23">
        <f>'Fiscal Forecasts'!G$114</f>
        <v>14.157999999999999</v>
      </c>
      <c r="H352" s="23">
        <f>'Fiscal Forecasts'!H$114</f>
        <v>14.619</v>
      </c>
      <c r="I352" s="23">
        <f>'Fiscal Forecasts'!I$114</f>
        <v>13.884</v>
      </c>
      <c r="J352" s="23">
        <f>'Fiscal Forecasts'!J$114</f>
        <v>21.69</v>
      </c>
      <c r="K352" s="23">
        <f>'Fiscal Forecasts'!K$114</f>
        <v>20.956</v>
      </c>
      <c r="L352" s="23">
        <f>'Fiscal Forecasts'!L$114</f>
        <v>19.882999999999999</v>
      </c>
      <c r="M352" s="23">
        <f>'Fiscal Forecasts'!M$114</f>
        <v>18.221</v>
      </c>
      <c r="N352" s="23">
        <f>'Fiscal Forecasts'!N$114</f>
        <v>17.602</v>
      </c>
      <c r="O352" s="25">
        <f>'Fiscal Forecasts'!O$114</f>
        <v>17.827999999999999</v>
      </c>
      <c r="P352" s="25">
        <f>'Fiscal Forecasts'!P$114</f>
        <v>17.829999999999998</v>
      </c>
      <c r="Q352" s="25">
        <f>'Fiscal Forecasts'!Q$114</f>
        <v>18.370999999999999</v>
      </c>
      <c r="R352" s="25">
        <f>'Fiscal Forecasts'!R$114</f>
        <v>19.081</v>
      </c>
      <c r="S352" s="25">
        <f>'Fiscal Forecasts'!S$114</f>
        <v>19.777000000000001</v>
      </c>
      <c r="T352" s="11">
        <f t="shared" ref="T352:AC352" ca="1" si="202">S$352-S$351+T$156-T$155+T$169-T$168-(T$97+T$99-T$459)+T$434-T$433-(S$434-S$433)+T$351</f>
        <v>20.348569011691794</v>
      </c>
      <c r="U352" s="11">
        <f t="shared" ca="1" si="202"/>
        <v>20.842036164378534</v>
      </c>
      <c r="V352" s="11">
        <f t="shared" ca="1" si="202"/>
        <v>21.523267867861069</v>
      </c>
      <c r="W352" s="11">
        <f t="shared" ca="1" si="202"/>
        <v>22.224770203789436</v>
      </c>
      <c r="X352" s="11">
        <f t="shared" ca="1" si="202"/>
        <v>22.936822647102204</v>
      </c>
      <c r="Y352" s="11">
        <f t="shared" ca="1" si="202"/>
        <v>23.670486940208527</v>
      </c>
      <c r="Z352" s="11">
        <f t="shared" ca="1" si="202"/>
        <v>24.419719246271775</v>
      </c>
      <c r="AA352" s="11">
        <f t="shared" ca="1" si="202"/>
        <v>25.184428482366002</v>
      </c>
      <c r="AB352" s="11">
        <f t="shared" ca="1" si="202"/>
        <v>25.963329216798925</v>
      </c>
      <c r="AC352" s="11">
        <f t="shared" ca="1" si="202"/>
        <v>26.760591880270873</v>
      </c>
      <c r="AD352" s="26"/>
      <c r="AE352" s="26"/>
    </row>
    <row r="353" spans="1:31" x14ac:dyDescent="0.2">
      <c r="A353" s="31"/>
      <c r="B353" s="4"/>
      <c r="AD353" s="26"/>
      <c r="AE353" s="26"/>
    </row>
    <row r="354" spans="1:31" x14ac:dyDescent="0.2">
      <c r="A354" s="31" t="s">
        <v>653</v>
      </c>
      <c r="B354" s="4"/>
      <c r="AD354" s="26"/>
      <c r="AE354" s="26"/>
    </row>
    <row r="355" spans="1:31" x14ac:dyDescent="0.2">
      <c r="A355" s="3" t="s">
        <v>412</v>
      </c>
      <c r="B355" s="4" t="str">
        <f>$B$46</f>
        <v>From Fiscal Forecasts</v>
      </c>
      <c r="F355" s="21">
        <f>SUM('Fiscal Forecasts'!F$184,'Fiscal Forecasts'!F$187)</f>
        <v>34.045999999999999</v>
      </c>
      <c r="G355" s="21">
        <f>SUM('Fiscal Forecasts'!G$184,'Fiscal Forecasts'!G$187)</f>
        <v>39.448999999999998</v>
      </c>
      <c r="H355" s="21">
        <f>SUM('Fiscal Forecasts'!H$184,'Fiscal Forecasts'!H$187)</f>
        <v>41.566000000000003</v>
      </c>
      <c r="I355" s="21">
        <f>SUM('Fiscal Forecasts'!I$184,'Fiscal Forecasts'!I$187)</f>
        <v>41.144999999999996</v>
      </c>
      <c r="J355" s="21">
        <f>SUM('Fiscal Forecasts'!J$184,'Fiscal Forecasts'!J$187)</f>
        <v>46.564999999999998</v>
      </c>
      <c r="K355" s="21">
        <f>SUM('Fiscal Forecasts'!K$184,'Fiscal Forecasts'!K$187)</f>
        <v>43.670999999999999</v>
      </c>
      <c r="L355" s="21">
        <f>SUM('Fiscal Forecasts'!L$184,'Fiscal Forecasts'!L$187)</f>
        <v>38.721000000000004</v>
      </c>
      <c r="M355" s="21">
        <f>SUM('Fiscal Forecasts'!M$184,'Fiscal Forecasts'!M$187)</f>
        <v>45.756999999999998</v>
      </c>
      <c r="N355" s="21">
        <f>SUM('Fiscal Forecasts'!N$184,'Fiscal Forecasts'!N$187)</f>
        <v>52.444000000000003</v>
      </c>
      <c r="O355" s="24">
        <f>SUM('Fiscal Forecasts'!O$184,'Fiscal Forecasts'!O$187)</f>
        <v>48.747</v>
      </c>
      <c r="P355" s="24">
        <f>SUM('Fiscal Forecasts'!P$184,'Fiscal Forecasts'!P$187)</f>
        <v>53.884</v>
      </c>
      <c r="Q355" s="24">
        <f>SUM('Fiscal Forecasts'!Q$184,'Fiscal Forecasts'!Q$187)</f>
        <v>49.84</v>
      </c>
      <c r="R355" s="24">
        <f>SUM('Fiscal Forecasts'!R$184,'Fiscal Forecasts'!R$187)</f>
        <v>48.963999999999999</v>
      </c>
      <c r="S355" s="24">
        <f>SUM('Fiscal Forecasts'!S$184,'Fiscal Forecasts'!S$187)</f>
        <v>53.777000000000001</v>
      </c>
      <c r="T355" s="26">
        <f t="shared" ref="T355:AC355" ca="1" si="203">(S$355-(S$370-SUM(S$343,S$348,S$380)))*T$11/S$11+T$370-SUM(T$343,T$348,T$380)</f>
        <v>57.086579728644494</v>
      </c>
      <c r="U355" s="26">
        <f t="shared" ca="1" si="203"/>
        <v>60.124543192776883</v>
      </c>
      <c r="V355" s="26">
        <f t="shared" ca="1" si="203"/>
        <v>65.812559897432763</v>
      </c>
      <c r="W355" s="26">
        <f t="shared" ca="1" si="203"/>
        <v>71.657247312713409</v>
      </c>
      <c r="X355" s="26">
        <f t="shared" ca="1" si="203"/>
        <v>77.655361077954197</v>
      </c>
      <c r="Y355" s="26">
        <f t="shared" ca="1" si="203"/>
        <v>83.759567051545673</v>
      </c>
      <c r="Z355" s="26">
        <f t="shared" ca="1" si="203"/>
        <v>89.931961540290473</v>
      </c>
      <c r="AA355" s="26">
        <f t="shared" ca="1" si="203"/>
        <v>96.166607473210362</v>
      </c>
      <c r="AB355" s="26">
        <f t="shared" ca="1" si="203"/>
        <v>102.45801286529466</v>
      </c>
      <c r="AC355" s="26">
        <f t="shared" ca="1" si="203"/>
        <v>108.84692030224198</v>
      </c>
      <c r="AD355" s="26"/>
      <c r="AE355" s="26"/>
    </row>
    <row r="356" spans="1:31" x14ac:dyDescent="0.2">
      <c r="A356" s="3" t="s">
        <v>413</v>
      </c>
      <c r="B356" s="4" t="str">
        <f>$B$46</f>
        <v>From Fiscal Forecasts</v>
      </c>
      <c r="F356" s="21">
        <f>SUM('Fiscal Forecasts'!F$185,'Fiscal Forecasts'!F$188)</f>
        <v>15.664999999999999</v>
      </c>
      <c r="G356" s="21">
        <f>SUM('Fiscal Forecasts'!G$185,'Fiscal Forecasts'!G$188)</f>
        <v>16.372999999999998</v>
      </c>
      <c r="H356" s="21">
        <f>SUM('Fiscal Forecasts'!H$185,'Fiscal Forecasts'!H$188)</f>
        <v>17.692999999999998</v>
      </c>
      <c r="I356" s="21">
        <f>SUM('Fiscal Forecasts'!I$185,'Fiscal Forecasts'!I$188)</f>
        <v>20.483000000000001</v>
      </c>
      <c r="J356" s="21">
        <f>SUM('Fiscal Forecasts'!J$185,'Fiscal Forecasts'!J$188)</f>
        <v>24.137</v>
      </c>
      <c r="K356" s="21">
        <f>SUM('Fiscal Forecasts'!K$185,'Fiscal Forecasts'!K$188)</f>
        <v>26.519000000000002</v>
      </c>
      <c r="L356" s="21">
        <f>SUM('Fiscal Forecasts'!L$185,'Fiscal Forecasts'!L$188)</f>
        <v>29.746000000000002</v>
      </c>
      <c r="M356" s="21">
        <f>SUM('Fiscal Forecasts'!M$185,'Fiscal Forecasts'!M$188)</f>
        <v>32.396000000000001</v>
      </c>
      <c r="N356" s="21">
        <f>SUM('Fiscal Forecasts'!N$185,'Fiscal Forecasts'!N$188)</f>
        <v>36.243000000000002</v>
      </c>
      <c r="O356" s="24">
        <f>SUM('Fiscal Forecasts'!O$185,'Fiscal Forecasts'!O$188)</f>
        <v>35.831000000000003</v>
      </c>
      <c r="P356" s="24">
        <f>SUM('Fiscal Forecasts'!P$185,'Fiscal Forecasts'!P$188)</f>
        <v>36.356000000000002</v>
      </c>
      <c r="Q356" s="24">
        <f>SUM('Fiscal Forecasts'!Q$185,'Fiscal Forecasts'!Q$188)</f>
        <v>37.655999999999999</v>
      </c>
      <c r="R356" s="24">
        <f>SUM('Fiscal Forecasts'!R$185,'Fiscal Forecasts'!R$188)</f>
        <v>39.045000000000002</v>
      </c>
      <c r="S356" s="24">
        <f>SUM('Fiscal Forecasts'!S$185,'Fiscal Forecasts'!S$188)</f>
        <v>40.451999999999998</v>
      </c>
      <c r="T356" s="26">
        <f t="shared" ref="T356:AC356" si="204">S$356*T$375/S$375</f>
        <v>42.365426103836377</v>
      </c>
      <c r="U356" s="26">
        <f t="shared" si="204"/>
        <v>44.282223237296712</v>
      </c>
      <c r="V356" s="26">
        <f t="shared" si="204"/>
        <v>46.234080483987221</v>
      </c>
      <c r="W356" s="26">
        <f t="shared" si="204"/>
        <v>48.225754840883575</v>
      </c>
      <c r="X356" s="26">
        <f t="shared" si="204"/>
        <v>50.290671421480226</v>
      </c>
      <c r="Y356" s="26">
        <f t="shared" si="204"/>
        <v>52.487310192864392</v>
      </c>
      <c r="Z356" s="26">
        <f t="shared" si="204"/>
        <v>54.734769942111569</v>
      </c>
      <c r="AA356" s="26">
        <f t="shared" si="204"/>
        <v>57.052812898735581</v>
      </c>
      <c r="AB356" s="26">
        <f t="shared" si="204"/>
        <v>59.453947599690437</v>
      </c>
      <c r="AC356" s="26">
        <f t="shared" si="204"/>
        <v>61.931510536890137</v>
      </c>
      <c r="AD356" s="26"/>
      <c r="AE356" s="26"/>
    </row>
    <row r="357" spans="1:31" x14ac:dyDescent="0.2">
      <c r="A357" s="3" t="s">
        <v>414</v>
      </c>
      <c r="B357" s="4" t="str">
        <f>$B$46</f>
        <v>From Fiscal Forecasts</v>
      </c>
      <c r="F357" s="21">
        <f>SUM('Fiscal Forecasts'!F$186,'Fiscal Forecasts'!F$189)</f>
        <v>2.2349999999999999</v>
      </c>
      <c r="G357" s="21">
        <f>SUM('Fiscal Forecasts'!G$186,'Fiscal Forecasts'!G$189)</f>
        <v>3.0920000000000001</v>
      </c>
      <c r="H357" s="21">
        <f>SUM('Fiscal Forecasts'!H$186,'Fiscal Forecasts'!H$189)</f>
        <v>3.5049999999999999</v>
      </c>
      <c r="I357" s="21">
        <f>SUM('Fiscal Forecasts'!I$186,'Fiscal Forecasts'!I$189)</f>
        <v>2.6259999999999999</v>
      </c>
      <c r="J357" s="21">
        <f>SUM('Fiscal Forecasts'!J$186,'Fiscal Forecasts'!J$189)</f>
        <v>2.8579999999999997</v>
      </c>
      <c r="K357" s="21">
        <f>SUM('Fiscal Forecasts'!K$186,'Fiscal Forecasts'!K$189)</f>
        <v>2.8710000000000004</v>
      </c>
      <c r="L357" s="21">
        <f>SUM('Fiscal Forecasts'!L$186,'Fiscal Forecasts'!L$189)</f>
        <v>2.9279999999999999</v>
      </c>
      <c r="M357" s="21">
        <f>SUM('Fiscal Forecasts'!M$186,'Fiscal Forecasts'!M$189)</f>
        <v>2.9550000000000001</v>
      </c>
      <c r="N357" s="21">
        <f>SUM('Fiscal Forecasts'!N$186,'Fiscal Forecasts'!N$189)</f>
        <v>3.8699999999999997</v>
      </c>
      <c r="O357" s="24">
        <f>SUM('Fiscal Forecasts'!O$186,'Fiscal Forecasts'!O$189)</f>
        <v>3.8079999999999998</v>
      </c>
      <c r="P357" s="24">
        <f>SUM('Fiscal Forecasts'!P$186,'Fiscal Forecasts'!P$189)</f>
        <v>3.9060000000000001</v>
      </c>
      <c r="Q357" s="24">
        <f>SUM('Fiscal Forecasts'!Q$186,'Fiscal Forecasts'!Q$189)</f>
        <v>4.056</v>
      </c>
      <c r="R357" s="24">
        <f>SUM('Fiscal Forecasts'!R$186,'Fiscal Forecasts'!R$189)</f>
        <v>4.2</v>
      </c>
      <c r="S357" s="24">
        <f>SUM('Fiscal Forecasts'!S$186,'Fiscal Forecasts'!S$189)</f>
        <v>4.3929999999999998</v>
      </c>
      <c r="T357" s="26">
        <f t="shared" ref="T357:AC357" ca="1" si="205">S$357*T$11/S$11</f>
        <v>4.5881047819248337</v>
      </c>
      <c r="U357" s="26">
        <f t="shared" ca="1" si="205"/>
        <v>4.7914981791988431</v>
      </c>
      <c r="V357" s="26">
        <f t="shared" ca="1" si="205"/>
        <v>5.0065905355933786</v>
      </c>
      <c r="W357" s="26">
        <f t="shared" ca="1" si="205"/>
        <v>5.2296783940451501</v>
      </c>
      <c r="X357" s="26">
        <f t="shared" ca="1" si="205"/>
        <v>5.4619668422658174</v>
      </c>
      <c r="Y357" s="26">
        <f t="shared" ca="1" si="205"/>
        <v>5.7017655189866971</v>
      </c>
      <c r="Z357" s="26">
        <f t="shared" ca="1" si="205"/>
        <v>5.9485861018042243</v>
      </c>
      <c r="AA357" s="26">
        <f t="shared" ca="1" si="205"/>
        <v>6.2026022424018139</v>
      </c>
      <c r="AB357" s="26">
        <f t="shared" ca="1" si="205"/>
        <v>6.4628330504210982</v>
      </c>
      <c r="AC357" s="26">
        <f t="shared" ca="1" si="205"/>
        <v>6.7306347740822412</v>
      </c>
      <c r="AD357" s="26"/>
      <c r="AE357" s="26"/>
    </row>
    <row r="358" spans="1:31" x14ac:dyDescent="0.2">
      <c r="A358" s="3" t="s">
        <v>415</v>
      </c>
      <c r="B358" s="4" t="str">
        <f>$B$46</f>
        <v>From Fiscal Forecasts</v>
      </c>
      <c r="F358" s="21">
        <f>SUM('Fiscal Forecasts'!F$115,'Fiscal Forecasts'!F$116)-SUM(F$355:F$357)</f>
        <v>-5.1749999999999972</v>
      </c>
      <c r="G358" s="21">
        <f>SUM('Fiscal Forecasts'!G$115,'Fiscal Forecasts'!G$116)-SUM(G$355:G$357)</f>
        <v>-4.7609999999999957</v>
      </c>
      <c r="H358" s="21">
        <f>SUM('Fiscal Forecasts'!H$115,'Fiscal Forecasts'!H$116)-SUM(H$355:H$357)</f>
        <v>-5.8960000000000079</v>
      </c>
      <c r="I358" s="21">
        <f>SUM('Fiscal Forecasts'!I$115,'Fiscal Forecasts'!I$116)-SUM(I$355:I$357)</f>
        <v>-8.3880000000000052</v>
      </c>
      <c r="J358" s="21">
        <f>SUM('Fiscal Forecasts'!J$115,'Fiscal Forecasts'!J$116)-SUM(J$355:J$357)</f>
        <v>-10.256000000000007</v>
      </c>
      <c r="K358" s="21">
        <f>SUM('Fiscal Forecasts'!K$115,'Fiscal Forecasts'!K$116)-SUM(K$355:K$357)</f>
        <v>-10.290999999999997</v>
      </c>
      <c r="L358" s="21">
        <f>SUM('Fiscal Forecasts'!L$115,'Fiscal Forecasts'!L$116)-SUM(L$355:L$357)</f>
        <v>-10.036000000000008</v>
      </c>
      <c r="M358" s="21">
        <f>SUM('Fiscal Forecasts'!M$115,'Fiscal Forecasts'!M$116)-SUM(M$355:M$357)</f>
        <v>-12.054999999999993</v>
      </c>
      <c r="N358" s="21">
        <f>SUM('Fiscal Forecasts'!N$115,'Fiscal Forecasts'!N$116)-SUM(N$355:N$357)</f>
        <v>-12.851000000000013</v>
      </c>
      <c r="O358" s="24">
        <f>SUM('Fiscal Forecasts'!O$115,'Fiscal Forecasts'!O$116)-SUM(O$355:O$357)</f>
        <v>-12.697000000000003</v>
      </c>
      <c r="P358" s="24">
        <f>SUM('Fiscal Forecasts'!P$115,'Fiscal Forecasts'!P$116)-SUM(P$355:P$357)</f>
        <v>-12.675000000000011</v>
      </c>
      <c r="Q358" s="24">
        <f>SUM('Fiscal Forecasts'!Q$115,'Fiscal Forecasts'!Q$116)-SUM(Q$355:Q$357)</f>
        <v>-13.11</v>
      </c>
      <c r="R358" s="24">
        <f>SUM('Fiscal Forecasts'!R$115,'Fiscal Forecasts'!R$116)-SUM(R$355:R$357)</f>
        <v>-13.647999999999996</v>
      </c>
      <c r="S358" s="24">
        <f>SUM('Fiscal Forecasts'!S$115,'Fiscal Forecasts'!S$116)-SUM(S$355:S$357)</f>
        <v>-14.213999999999999</v>
      </c>
      <c r="T358" s="26">
        <f ca="1">IF(T$4=OFFSET(Choices!$B$10,0,$C$1),AVERAGE(Q$358/Q$356,R$358/R$356,S$358/S$356),S$358/S$356)*T$356</f>
        <v>-14.814857617038012</v>
      </c>
      <c r="U358" s="26">
        <f ca="1">IF(U$4=OFFSET(Choices!$B$10,0,$C$1),AVERAGE(R$358/R$356,S$358/S$356,T$358/T$356),T$358/T$356)*U$356</f>
        <v>-15.485146558387523</v>
      </c>
      <c r="V358" s="26">
        <f ca="1">IF(V$4=OFFSET(Choices!$B$10,0,$C$1),AVERAGE(S$358/S$356,T$358/T$356,U$358/U$356),U$358/U$356)*V$356</f>
        <v>-16.167695746672099</v>
      </c>
      <c r="W358" s="26">
        <f ca="1">IF(W$4=OFFSET(Choices!$B$10,0,$C$1),AVERAGE(T$358/T$356,U$358/U$356,V$358/V$356),V$358/V$356)*W$356</f>
        <v>-16.864168666467737</v>
      </c>
      <c r="X358" s="26">
        <f ca="1">IF(X$4=OFFSET(Choices!$B$10,0,$C$1),AVERAGE(U$358/U$356,V$358/V$356,W$358/W$356),W$358/W$356)*X$356</f>
        <v>-17.586253818110535</v>
      </c>
      <c r="Y358" s="26">
        <f ca="1">IF(Y$4=OFFSET(Choices!$B$10,0,$C$1),AVERAGE(V$358/V$356,W$358/W$356,X$358/X$356),X$358/X$356)*Y$356</f>
        <v>-18.35440118795783</v>
      </c>
      <c r="Z358" s="26">
        <f ca="1">IF(Z$4=OFFSET(Choices!$B$10,0,$C$1),AVERAGE(W$358/W$356,X$358/X$356,Y$358/Y$356),Y$358/Y$356)*Z$356</f>
        <v>-19.140320255631405</v>
      </c>
      <c r="AA358" s="26">
        <f ca="1">IF(AA$4=OFFSET(Choices!$B$10,0,$C$1),AVERAGE(X$358/X$356,Y$358/Y$356,Z$358/Z$356),Z$358/Z$356)*AA$356</f>
        <v>-19.950921717974605</v>
      </c>
      <c r="AB358" s="26">
        <f ca="1">IF(AB$4=OFFSET(Choices!$B$10,0,$C$1),AVERAGE(Y$358/Y$356,Z$358/Z$356,AA$358/AA$356),AA$358/AA$356)*AB$356</f>
        <v>-20.790579712368153</v>
      </c>
      <c r="AC358" s="26">
        <f ca="1">IF(AC$4=OFFSET(Choices!$B$10,0,$C$1),AVERAGE(Z$358/Z$356,AA$358/AA$356,AB$358/AB$356),AB$358/AB$356)*AC$356</f>
        <v>-21.656964062236412</v>
      </c>
      <c r="AD358" s="26"/>
      <c r="AE358" s="26"/>
    </row>
    <row r="359" spans="1:31" x14ac:dyDescent="0.2">
      <c r="A359" s="31" t="s">
        <v>658</v>
      </c>
      <c r="B359" s="4"/>
      <c r="F359" s="56">
        <f>SUM(F$355:F$358)</f>
        <v>46.771000000000001</v>
      </c>
      <c r="G359" s="56">
        <f t="shared" ref="G359:AC359" si="206">SUM(G$355:G$358)</f>
        <v>54.152999999999999</v>
      </c>
      <c r="H359" s="56">
        <f t="shared" si="206"/>
        <v>56.867999999999995</v>
      </c>
      <c r="I359" s="56">
        <f t="shared" si="206"/>
        <v>55.866</v>
      </c>
      <c r="J359" s="56">
        <f t="shared" si="206"/>
        <v>63.303999999999995</v>
      </c>
      <c r="K359" s="56">
        <f t="shared" si="206"/>
        <v>62.769999999999996</v>
      </c>
      <c r="L359" s="56">
        <f t="shared" si="206"/>
        <v>61.359000000000002</v>
      </c>
      <c r="M359" s="56">
        <f t="shared" si="206"/>
        <v>69.052999999999997</v>
      </c>
      <c r="N359" s="56">
        <f t="shared" si="206"/>
        <v>79.706000000000003</v>
      </c>
      <c r="O359" s="57">
        <f t="shared" si="206"/>
        <v>75.688999999999993</v>
      </c>
      <c r="P359" s="57">
        <f t="shared" si="206"/>
        <v>81.471000000000004</v>
      </c>
      <c r="Q359" s="57">
        <f t="shared" si="206"/>
        <v>78.442000000000007</v>
      </c>
      <c r="R359" s="57">
        <f t="shared" si="206"/>
        <v>78.561000000000007</v>
      </c>
      <c r="S359" s="57">
        <f t="shared" si="206"/>
        <v>84.408000000000001</v>
      </c>
      <c r="T359" s="58">
        <f t="shared" ca="1" si="206"/>
        <v>89.22525299736769</v>
      </c>
      <c r="U359" s="58">
        <f t="shared" ca="1" si="206"/>
        <v>93.713118050884901</v>
      </c>
      <c r="V359" s="58">
        <f t="shared" ca="1" si="206"/>
        <v>100.88553517034127</v>
      </c>
      <c r="W359" s="58">
        <f t="shared" ca="1" si="206"/>
        <v>108.24851188117439</v>
      </c>
      <c r="X359" s="58">
        <f t="shared" ca="1" si="206"/>
        <v>115.82174552358971</v>
      </c>
      <c r="Y359" s="58">
        <f t="shared" ca="1" si="206"/>
        <v>123.59424157543891</v>
      </c>
      <c r="Z359" s="58">
        <f t="shared" ca="1" si="206"/>
        <v>131.47499732857486</v>
      </c>
      <c r="AA359" s="58">
        <f t="shared" ca="1" si="206"/>
        <v>139.47110089637314</v>
      </c>
      <c r="AB359" s="58">
        <f t="shared" ca="1" si="206"/>
        <v>147.58421380303804</v>
      </c>
      <c r="AC359" s="58">
        <f t="shared" ca="1" si="206"/>
        <v>155.85210155097792</v>
      </c>
      <c r="AD359" s="26"/>
      <c r="AE359" s="26"/>
    </row>
    <row r="360" spans="1:31" x14ac:dyDescent="0.2">
      <c r="A360" s="31"/>
      <c r="B360" s="4"/>
      <c r="F360" s="23"/>
      <c r="AD360" s="26"/>
      <c r="AE360" s="26"/>
    </row>
    <row r="361" spans="1:31" x14ac:dyDescent="0.2">
      <c r="A361" s="31" t="s">
        <v>619</v>
      </c>
      <c r="AD361" s="26"/>
      <c r="AE361" s="26"/>
    </row>
    <row r="362" spans="1:31" x14ac:dyDescent="0.2">
      <c r="A362" s="3" t="s">
        <v>503</v>
      </c>
      <c r="B362" s="4" t="str">
        <f t="shared" ref="B362:B367" si="207">$B$46</f>
        <v>From Fiscal Forecasts</v>
      </c>
      <c r="F362" s="21">
        <f>'Fiscal Forecasts'!F$368</f>
        <v>0.436</v>
      </c>
      <c r="G362" s="21">
        <f>'Fiscal Forecasts'!G$368</f>
        <v>0.38500000000000001</v>
      </c>
      <c r="H362" s="21">
        <f>'Fiscal Forecasts'!H$368</f>
        <v>0.38300000000000001</v>
      </c>
      <c r="I362" s="21">
        <f>'Fiscal Forecasts'!I$368</f>
        <v>0.433</v>
      </c>
      <c r="J362" s="21">
        <f>'Fiscal Forecasts'!J$368</f>
        <v>0.51800000000000002</v>
      </c>
      <c r="K362" s="21">
        <f>'Fiscal Forecasts'!K$368</f>
        <v>0.53900000000000003</v>
      </c>
      <c r="L362" s="21">
        <f>'Fiscal Forecasts'!L$368</f>
        <v>0.59499999999999997</v>
      </c>
      <c r="M362" s="21">
        <f>'Fiscal Forecasts'!M$368</f>
        <v>0.76700000000000002</v>
      </c>
      <c r="N362" s="21">
        <f>IF($D$3="Yes",'NZS Fund Adjuster'!N$23,'Fiscal Forecasts'!N$368)</f>
        <v>0.76</v>
      </c>
      <c r="O362" s="24">
        <f>IF($D$3="Yes",'NZS Fund Adjuster'!O$23,'Fiscal Forecasts'!O$368)</f>
        <v>0.79800000000000004</v>
      </c>
      <c r="P362" s="24">
        <f>IF($D$3="Yes",'NZS Fund Adjuster'!P$23,'Fiscal Forecasts'!P$368)</f>
        <v>0.83699999999999997</v>
      </c>
      <c r="Q362" s="24">
        <f>IF($D$3="Yes",'NZS Fund Adjuster'!Q$23,'Fiscal Forecasts'!Q$368)</f>
        <v>0.91200000000000003</v>
      </c>
      <c r="R362" s="24">
        <f>IF($D$3="Yes",'NZS Fund Adjuster'!R$23,'Fiscal Forecasts'!R$368)</f>
        <v>0.99</v>
      </c>
      <c r="S362" s="24">
        <f>IF($D$3="Yes",'NZS Fund Adjuster'!S$23,'Fiscal Forecasts'!S$368)</f>
        <v>1.075</v>
      </c>
      <c r="T362" s="26">
        <f ca="1">IF(T$4=OFFSET(Choices!$B$10,0,$C$1),AVERAGE(SUM(Q$362,Q$367)/SUM(Q$362,-Q$364,Q$365,Q$367),SUM(R$362,R$367)/SUM(R$362,-R$364,R$365,R$367),SUM(S$362,S$367)/SUM(S$362,-S$364,S$365,S$367)),SUM(S$362,S$367)/SUM(S$362,-S$364,S$365,S$367))*IF($D$3="Yes",SUM('NZS Fund Adjuster'!T$23,-'NZS Fund Adjuster'!T$25,'NZS Fund Adjuster'!T$26,'NZS Fund Adjuster'!T$27),SUM(Tracks!T$12,Tracks!T$14))</f>
        <v>0.9908150991189868</v>
      </c>
      <c r="U362" s="26">
        <f ca="1">IF(U$4=OFFSET(Choices!$B$10,0,$C$1),AVERAGE(SUM(R$362,R$367)/SUM(R$362,-R$364,R$365,R$367),SUM(S$362,S$367)/SUM(S$362,-S$364,S$365,S$367),SUM(T$362,T$367)/SUM(T$362,-T$364,T$365,T$367)),SUM(T$362,T$367)/SUM(T$362,-T$364,T$365,T$367))*IF($D$3="Yes",SUM('NZS Fund Adjuster'!U$23,-'NZS Fund Adjuster'!U$25,'NZS Fund Adjuster'!U$26,'NZS Fund Adjuster'!U$27),SUM(Tracks!U$12,Tracks!U$14))</f>
        <v>1.0756665620880363</v>
      </c>
      <c r="V362" s="26">
        <f ca="1">IF(V$4=OFFSET(Choices!$B$10,0,$C$1),AVERAGE(SUM(S$362,S$367)/SUM(S$362,-S$364,S$365,S$367),SUM(T$362,T$367)/SUM(T$362,-T$364,T$365,T$367),SUM(U$362,U$367)/SUM(U$362,-U$364,U$365,U$367)),SUM(U$362,U$367)/SUM(U$362,-U$364,U$365,U$367))*IF($D$3="Yes",SUM('NZS Fund Adjuster'!V$23,-'NZS Fund Adjuster'!V$25,'NZS Fund Adjuster'!V$26,'NZS Fund Adjuster'!V$27),SUM(Tracks!V$12,Tracks!V$14))</f>
        <v>1.1926019085220114</v>
      </c>
      <c r="W362" s="26">
        <f ca="1">IF(W$4=OFFSET(Choices!$B$10,0,$C$1),AVERAGE(SUM(T$362,T$367)/SUM(T$362,-T$364,T$365,T$367),SUM(U$362,U$367)/SUM(U$362,-U$364,U$365,U$367),SUM(V$362,V$367)/SUM(V$362,-V$364,V$365,V$367)),SUM(V$362,V$367)/SUM(V$362,-V$364,V$365,V$367))*IF($D$3="Yes",SUM('NZS Fund Adjuster'!W$23,-'NZS Fund Adjuster'!W$25,'NZS Fund Adjuster'!W$26,'NZS Fund Adjuster'!W$27),SUM(Tracks!W$12,Tracks!W$14))</f>
        <v>1.3336896425266791</v>
      </c>
      <c r="X362" s="26">
        <f ca="1">IF(X$4=OFFSET(Choices!$B$10,0,$C$1),AVERAGE(SUM(U$362,U$367)/SUM(U$362,-U$364,U$365,U$367),SUM(V$362,V$367)/SUM(V$362,-V$364,V$365,V$367),SUM(W$362,W$367)/SUM(W$362,-W$364,W$365,W$367)),SUM(W$362,W$367)/SUM(W$362,-W$364,W$365,W$367))*IF($D$3="Yes",SUM('NZS Fund Adjuster'!X$23,-'NZS Fund Adjuster'!X$25,'NZS Fund Adjuster'!X$26,'NZS Fund Adjuster'!X$27),SUM(Tracks!X$12,Tracks!X$14))</f>
        <v>1.4782062864531975</v>
      </c>
      <c r="Y362" s="26">
        <f ca="1">IF(Y$4=OFFSET(Choices!$B$10,0,$C$1),AVERAGE(SUM(V$362,V$367)/SUM(V$362,-V$364,V$365,V$367),SUM(W$362,W$367)/SUM(W$362,-W$364,W$365,W$367),SUM(X$362,X$367)/SUM(X$362,-X$364,X$365,X$367)),SUM(X$362,X$367)/SUM(X$362,-X$364,X$365,X$367))*IF($D$3="Yes",SUM('NZS Fund Adjuster'!Y$23,-'NZS Fund Adjuster'!Y$25,'NZS Fund Adjuster'!Y$26,'NZS Fund Adjuster'!Y$27),SUM(Tracks!Y$12,Tracks!Y$14))</f>
        <v>1.6254554930256278</v>
      </c>
      <c r="Z362" s="26">
        <f ca="1">IF(Z$4=OFFSET(Choices!$B$10,0,$C$1),AVERAGE(SUM(W$362,W$367)/SUM(W$362,-W$364,W$365,W$367),SUM(X$362,X$367)/SUM(X$362,-X$364,X$365,X$367),SUM(Y$362,Y$367)/SUM(Y$362,-Y$364,Y$365,Y$367)),SUM(Y$362,Y$367)/SUM(Y$362,-Y$364,Y$365,Y$367))*IF($D$3="Yes",SUM('NZS Fund Adjuster'!Z$23,-'NZS Fund Adjuster'!Z$25,'NZS Fund Adjuster'!Z$26,'NZS Fund Adjuster'!Z$27),SUM(Tracks!Z$12,Tracks!Z$14))</f>
        <v>1.7743180324814587</v>
      </c>
      <c r="AA362" s="26">
        <f ca="1">IF(AA$4=OFFSET(Choices!$B$10,0,$C$1),AVERAGE(SUM(X$362,X$367)/SUM(X$362,-X$364,X$365,X$367),SUM(Y$362,Y$367)/SUM(Y$362,-Y$364,Y$365,Y$367),SUM(Z$362,Z$367)/SUM(Z$362,-Z$364,Z$365,Z$367)),SUM(Z$362,Z$367)/SUM(Z$362,-Z$364,Z$365,Z$367))*IF($D$3="Yes",SUM('NZS Fund Adjuster'!AA$23,-'NZS Fund Adjuster'!AA$25,'NZS Fund Adjuster'!AA$26,'NZS Fund Adjuster'!AA$27),SUM(Tracks!AA$12,Tracks!AA$14))</f>
        <v>1.9241435099380597</v>
      </c>
      <c r="AB362" s="26">
        <f ca="1">IF(AB$4=OFFSET(Choices!$B$10,0,$C$1),AVERAGE(SUM(Y$362,Y$367)/SUM(Y$362,-Y$364,Y$365,Y$367),SUM(Z$362,Z$367)/SUM(Z$362,-Z$364,Z$365,Z$367),SUM(AA$362,AA$367)/SUM(AA$362,-AA$364,AA$365,AA$367)),SUM(AA$362,AA$367)/SUM(AA$362,-AA$364,AA$365,AA$367))*IF($D$3="Yes",SUM('NZS Fund Adjuster'!AB$23,-'NZS Fund Adjuster'!AB$25,'NZS Fund Adjuster'!AB$26,'NZS Fund Adjuster'!AB$27),SUM(Tracks!AB$12,Tracks!AB$14))</f>
        <v>2.0748136077325032</v>
      </c>
      <c r="AC362" s="26">
        <f ca="1">IF(AC$4=OFFSET(Choices!$B$10,0,$C$1),AVERAGE(SUM(Z$362,Z$367)/SUM(Z$362,-Z$364,Z$365,Z$367),SUM(AA$362,AA$367)/SUM(AA$362,-AA$364,AA$365,AA$367),SUM(AB$362,AB$367)/SUM(AB$362,-AB$364,AB$365,AB$367)),SUM(AB$362,AB$367)/SUM(AB$362,-AB$364,AB$365,AB$367))*IF($D$3="Yes",SUM('NZS Fund Adjuster'!AC$23,-'NZS Fund Adjuster'!AC$25,'NZS Fund Adjuster'!AC$26,'NZS Fund Adjuster'!AC$27),SUM(Tracks!AC$12,Tracks!AC$14))</f>
        <v>2.2268010933948248</v>
      </c>
      <c r="AD362" s="26"/>
      <c r="AE362" s="26"/>
    </row>
    <row r="363" spans="1:31" x14ac:dyDescent="0.2">
      <c r="A363" s="3" t="s">
        <v>504</v>
      </c>
      <c r="B363" s="4" t="str">
        <f t="shared" si="207"/>
        <v>From Fiscal Forecasts</v>
      </c>
      <c r="F363" s="21">
        <f>'Fiscal Forecasts'!F$369</f>
        <v>0.70699999999999996</v>
      </c>
      <c r="G363" s="21">
        <f>'Fiscal Forecasts'!G$369</f>
        <v>0.23699999999999999</v>
      </c>
      <c r="H363" s="21">
        <f>'Fiscal Forecasts'!H$369</f>
        <v>4.0000000000000001E-3</v>
      </c>
      <c r="I363" s="21">
        <f>'Fiscal Forecasts'!I$369</f>
        <v>-2.7E-2</v>
      </c>
      <c r="J363" s="21">
        <f>'Fiscal Forecasts'!J$369</f>
        <v>0.872</v>
      </c>
      <c r="K363" s="21">
        <f>'Fiscal Forecasts'!K$369</f>
        <v>0.16</v>
      </c>
      <c r="L363" s="21">
        <f>'Fiscal Forecasts'!L$369</f>
        <v>0.98299999999999998</v>
      </c>
      <c r="M363" s="21">
        <f>'Fiscal Forecasts'!M$369</f>
        <v>1.0740000000000001</v>
      </c>
      <c r="N363" s="21">
        <f>IF($D$3="Yes",'NZS Fund Adjuster'!N$24,'Fiscal Forecasts'!N$369)</f>
        <v>4.5999999999999999E-2</v>
      </c>
      <c r="O363" s="24">
        <f>IF($D$3="Yes",'NZS Fund Adjuster'!O$24,'Fiscal Forecasts'!O$369)</f>
        <v>0.22700000000000001</v>
      </c>
      <c r="P363" s="24">
        <f>IF($D$3="Yes",'NZS Fund Adjuster'!P$24,'Fiscal Forecasts'!P$369)</f>
        <v>0.629</v>
      </c>
      <c r="Q363" s="24">
        <f>IF($D$3="Yes",'NZS Fund Adjuster'!Q$24,'Fiscal Forecasts'!Q$369)</f>
        <v>0.67200000000000004</v>
      </c>
      <c r="R363" s="24">
        <f>IF($D$3="Yes",'NZS Fund Adjuster'!R$24,'Fiscal Forecasts'!R$369)</f>
        <v>0.72</v>
      </c>
      <c r="S363" s="24">
        <f>IF($D$3="Yes",'NZS Fund Adjuster'!S$24,'Fiscal Forecasts'!S$369)</f>
        <v>0.77200000000000002</v>
      </c>
      <c r="T363" s="26">
        <f>IF($D$3="Yes",'NZS Fund Adjuster'!T$24,Tracks!T$13)</f>
        <v>0.69519146399999965</v>
      </c>
      <c r="U363" s="26">
        <f>IF($D$3="Yes",'NZS Fund Adjuster'!U$24,Tracks!U$13)</f>
        <v>0.75472629831615656</v>
      </c>
      <c r="V363" s="26">
        <f>IF($D$3="Yes",'NZS Fund Adjuster'!V$24,Tracks!V$13)</f>
        <v>0.83677233773669613</v>
      </c>
      <c r="W363" s="26">
        <f>IF($D$3="Yes",'NZS Fund Adjuster'!W$24,Tracks!W$13)</f>
        <v>0.93576455983985207</v>
      </c>
      <c r="X363" s="26">
        <f>IF($D$3="Yes",'NZS Fund Adjuster'!X$24,Tracks!X$13)</f>
        <v>1.0371626283119377</v>
      </c>
      <c r="Y363" s="26">
        <f>IF($D$3="Yes",'NZS Fund Adjuster'!Y$24,Tracks!Y$13)</f>
        <v>1.1404779608910922</v>
      </c>
      <c r="Z363" s="26">
        <f>IF($D$3="Yes",'NZS Fund Adjuster'!Z$24,Tracks!Z$13)</f>
        <v>1.2449252657727761</v>
      </c>
      <c r="AA363" s="26">
        <f>IF($D$3="Yes",'NZS Fund Adjuster'!AA$24,Tracks!AA$13)</f>
        <v>1.3500482025449028</v>
      </c>
      <c r="AB363" s="26">
        <f>IF($D$3="Yes",'NZS Fund Adjuster'!AB$24,Tracks!AB$13)</f>
        <v>1.4557637552851455</v>
      </c>
      <c r="AC363" s="26">
        <f>IF($D$3="Yes",'NZS Fund Adjuster'!AC$24,Tracks!AC$13)</f>
        <v>1.5624036346745687</v>
      </c>
      <c r="AD363" s="26"/>
      <c r="AE363" s="26"/>
    </row>
    <row r="364" spans="1:31" x14ac:dyDescent="0.2">
      <c r="A364" s="3" t="s">
        <v>505</v>
      </c>
      <c r="B364" s="4" t="str">
        <f t="shared" si="207"/>
        <v>From Fiscal Forecasts</v>
      </c>
      <c r="F364" s="21">
        <f>'Fiscal Forecasts'!F$370</f>
        <v>-5.1999999999999998E-2</v>
      </c>
      <c r="G364" s="21">
        <f>'Fiscal Forecasts'!G$370</f>
        <v>3.4000000000000002E-2</v>
      </c>
      <c r="H364" s="21">
        <f>'Fiscal Forecasts'!H$370</f>
        <v>-0.32300000000000001</v>
      </c>
      <c r="I364" s="21">
        <f>'Fiscal Forecasts'!I$370</f>
        <v>0.502</v>
      </c>
      <c r="J364" s="21">
        <f>'Fiscal Forecasts'!J$370</f>
        <v>0.16900000000000001</v>
      </c>
      <c r="K364" s="21">
        <f>'Fiscal Forecasts'!K$370</f>
        <v>0.13200000000000001</v>
      </c>
      <c r="L364" s="21">
        <f>'Fiscal Forecasts'!L$370</f>
        <v>0.16500000000000001</v>
      </c>
      <c r="M364" s="21">
        <f>'Fiscal Forecasts'!M$370</f>
        <v>0.16400000000000001</v>
      </c>
      <c r="N364" s="21">
        <f>IF($D$3="Yes",'NZS Fund Adjuster'!N$25,'Fiscal Forecasts'!N$370)</f>
        <v>0.19800000000000001</v>
      </c>
      <c r="O364" s="24">
        <f>IF($D$3="Yes",'NZS Fund Adjuster'!O$25,'Fiscal Forecasts'!O$370)</f>
        <v>0.153</v>
      </c>
      <c r="P364" s="24">
        <f>IF($D$3="Yes",'NZS Fund Adjuster'!P$25,'Fiscal Forecasts'!P$370)</f>
        <v>0.17100000000000001</v>
      </c>
      <c r="Q364" s="24">
        <f>IF($D$3="Yes",'NZS Fund Adjuster'!Q$25,'Fiscal Forecasts'!Q$370)</f>
        <v>0.20200000000000001</v>
      </c>
      <c r="R364" s="24">
        <f>IF($D$3="Yes",'NZS Fund Adjuster'!R$25,'Fiscal Forecasts'!R$370)</f>
        <v>0.22700000000000001</v>
      </c>
      <c r="S364" s="24">
        <f>IF($D$3="Yes",'NZS Fund Adjuster'!S$25,'Fiscal Forecasts'!S$370)</f>
        <v>0.253</v>
      </c>
      <c r="T364" s="26">
        <f ca="1">IF(T$4=OFFSET(Choices!$B$10,0,$C$1),AVERAGE(Q$364/SUM(Q$362,-Q$364,Q$365,Q$367),R$364/SUM(R$362,-R$364,R$365,R$367),S$364/SUM(S$362,-S$364,S$365,S$367)),S$364/SUM(S$362,-S$364,S$365,S$367))*IF($D$3="Yes",SUM('NZS Fund Adjuster'!T$23,-'NZS Fund Adjuster'!T$25,'NZS Fund Adjuster'!T$26,'NZS Fund Adjuster'!T$27),SUM(Tracks!T$12,Tracks!T$14))</f>
        <v>0.21935389637232919</v>
      </c>
      <c r="U364" s="26">
        <f ca="1">IF(U$4=OFFSET(Choices!$B$10,0,$C$1),AVERAGE(R$364/SUM(R$362,-R$364,R$365,R$367),S$364/SUM(S$362,-S$364,S$365,S$367),T$364/SUM(T$362,-T$364,T$365,T$367)),T$364/SUM(T$362,-T$364,T$365,T$367))*IF($D$3="Yes",SUM('NZS Fund Adjuster'!U$23,-'NZS Fund Adjuster'!U$25,'NZS Fund Adjuster'!U$26,'NZS Fund Adjuster'!U$27),SUM(Tracks!U$12,Tracks!U$14))</f>
        <v>0.23813893409703013</v>
      </c>
      <c r="V364" s="26">
        <f ca="1">IF(V$4=OFFSET(Choices!$B$10,0,$C$1),AVERAGE(S$364/SUM(S$362,-S$364,S$365,S$367),T$364/SUM(T$362,-T$364,T$365,T$367),U$364/SUM(U$362,-U$364,U$365,U$367)),U$364/SUM(U$362,-U$364,U$365,U$367))*IF($D$3="Yes",SUM('NZS Fund Adjuster'!V$23,-'NZS Fund Adjuster'!V$25,'NZS Fund Adjuster'!V$26,'NZS Fund Adjuster'!V$27),SUM(Tracks!V$12,Tracks!V$14))</f>
        <v>0.26402693669887606</v>
      </c>
      <c r="W364" s="26">
        <f ca="1">IF(W$4=OFFSET(Choices!$B$10,0,$C$1),AVERAGE(T$364/SUM(T$362,-T$364,T$365,T$367),U$364/SUM(U$362,-U$364,U$365,U$367),V$364/SUM(V$362,-V$364,V$365,V$367)),V$364/SUM(V$362,-V$364,V$365,V$367))*IF($D$3="Yes",SUM('NZS Fund Adjuster'!W$23,-'NZS Fund Adjuster'!W$25,'NZS Fund Adjuster'!W$26,'NZS Fund Adjuster'!W$27),SUM(Tracks!W$12,Tracks!W$14))</f>
        <v>0.29526197158256434</v>
      </c>
      <c r="X364" s="26">
        <f ca="1">IF(X$4=OFFSET(Choices!$B$10,0,$C$1),AVERAGE(U$364/SUM(U$362,-U$364,U$365,U$367),V$364/SUM(V$362,-V$364,V$365,V$367),W$364/SUM(W$362,-W$364,W$365,W$367)),W$364/SUM(W$362,-W$364,W$365,W$367))*IF($D$3="Yes",SUM('NZS Fund Adjuster'!X$23,-'NZS Fund Adjuster'!X$25,'NZS Fund Adjuster'!X$26,'NZS Fund Adjuster'!X$27),SUM(Tracks!X$12,Tracks!X$14))</f>
        <v>0.32725612363386192</v>
      </c>
      <c r="Y364" s="26">
        <f ca="1">IF(Y$4=OFFSET(Choices!$B$10,0,$C$1),AVERAGE(V$364/SUM(V$362,-V$364,V$365,V$367),W$364/SUM(W$362,-W$364,W$365,W$367),X$364/SUM(X$362,-X$364,X$365,X$367)),X$364/SUM(X$362,-X$364,X$365,X$367))*IF($D$3="Yes",SUM('NZS Fund Adjuster'!Y$23,-'NZS Fund Adjuster'!Y$25,'NZS Fund Adjuster'!Y$26,'NZS Fund Adjuster'!Y$27),SUM(Tracks!Y$12,Tracks!Y$14))</f>
        <v>0.35985523039769385</v>
      </c>
      <c r="Z364" s="26">
        <f ca="1">IF(Z$4=OFFSET(Choices!$B$10,0,$C$1),AVERAGE(W$364/SUM(W$362,-W$364,W$365,W$367),X$364/SUM(X$362,-X$364,X$365,X$367),Y$364/SUM(Y$362,-Y$364,Y$365,Y$367)),Y$364/SUM(Y$362,-Y$364,Y$365,Y$367))*IF($D$3="Yes",SUM('NZS Fund Adjuster'!Z$23,-'NZS Fund Adjuster'!Z$25,'NZS Fund Adjuster'!Z$26,'NZS Fund Adjuster'!Z$27),SUM(Tracks!Z$12,Tracks!Z$14))</f>
        <v>0.39281150859990432</v>
      </c>
      <c r="AA364" s="26">
        <f ca="1">IF(AA$4=OFFSET(Choices!$B$10,0,$C$1),AVERAGE(X$364/SUM(X$362,-X$364,X$365,X$367),Y$364/SUM(Y$362,-Y$364,Y$365,Y$367),Z$364/SUM(Z$362,-Z$364,Z$365,Z$367)),Z$364/SUM(Z$362,-Z$364,Z$365,Z$367))*IF($D$3="Yes",SUM('NZS Fund Adjuster'!AA$23,-'NZS Fund Adjuster'!AA$25,'NZS Fund Adjuster'!AA$26,'NZS Fund Adjuster'!AA$27),SUM(Tracks!AA$12,Tracks!AA$14))</f>
        <v>0.42598096906247979</v>
      </c>
      <c r="AB364" s="26">
        <f ca="1">IF(AB$4=OFFSET(Choices!$B$10,0,$C$1),AVERAGE(Y$364/SUM(Y$362,-Y$364,Y$365,Y$367),Z$364/SUM(Z$362,-Z$364,Z$365,Z$367),AA$364/SUM(AA$362,-AA$364,AA$365,AA$367)),AA$364/SUM(AA$362,-AA$364,AA$365,AA$367))*IF($D$3="Yes",SUM('NZS Fund Adjuster'!AB$23,-'NZS Fund Adjuster'!AB$25,'NZS Fund Adjuster'!AB$26,'NZS Fund Adjuster'!AB$27),SUM(Tracks!AB$12,Tracks!AB$14))</f>
        <v>0.45933741775547865</v>
      </c>
      <c r="AC364" s="26">
        <f ca="1">IF(AC$4=OFFSET(Choices!$B$10,0,$C$1),AVERAGE(Z$364/SUM(Z$362,-Z$364,Z$365,Z$367),AA$364/SUM(AA$362,-AA$364,AA$365,AA$367),AB$364/SUM(AB$362,-AB$364,AB$365,AB$367)),AB$364/SUM(AB$362,-AB$364,AB$365,AB$367))*IF($D$3="Yes",SUM('NZS Fund Adjuster'!AC$23,-'NZS Fund Adjuster'!AC$25,'NZS Fund Adjuster'!AC$26,'NZS Fund Adjuster'!AC$27),SUM(Tracks!AC$12,Tracks!AC$14))</f>
        <v>0.49298551941390933</v>
      </c>
      <c r="AD364" s="26"/>
      <c r="AE364" s="26"/>
    </row>
    <row r="365" spans="1:31" x14ac:dyDescent="0.2">
      <c r="A365" s="3" t="s">
        <v>506</v>
      </c>
      <c r="B365" s="4" t="str">
        <f t="shared" si="207"/>
        <v>From Fiscal Forecasts</v>
      </c>
      <c r="F365" s="21">
        <f>'Fiscal Forecasts'!F$371</f>
        <v>1.3129999999999999</v>
      </c>
      <c r="G365" s="21">
        <f>'Fiscal Forecasts'!G$371</f>
        <v>-0.995</v>
      </c>
      <c r="H365" s="21">
        <f>'Fiscal Forecasts'!H$371</f>
        <v>-3.4950000000000001</v>
      </c>
      <c r="I365" s="21">
        <f>'Fiscal Forecasts'!I$371</f>
        <v>1.75</v>
      </c>
      <c r="J365" s="21">
        <f>'Fiscal Forecasts'!J$371</f>
        <v>3.5179999999999998</v>
      </c>
      <c r="K365" s="21">
        <f>'Fiscal Forecasts'!K$371</f>
        <v>-0.20399999999999999</v>
      </c>
      <c r="L365" s="21">
        <f>'Fiscal Forecasts'!L$371</f>
        <v>4.3739999999999997</v>
      </c>
      <c r="M365" s="21">
        <f>'Fiscal Forecasts'!M$371</f>
        <v>3.7349999999999999</v>
      </c>
      <c r="N365" s="21">
        <f>IF($D$3="Yes",'NZS Fund Adjuster'!N$26,'Fiscal Forecasts'!N$371)</f>
        <v>3.1560000000000001</v>
      </c>
      <c r="O365" s="24">
        <f>IF($D$3="Yes",'NZS Fund Adjuster'!O$26,'Fiscal Forecasts'!O$371)</f>
        <v>0.34</v>
      </c>
      <c r="P365" s="24">
        <f>IF($D$3="Yes",'NZS Fund Adjuster'!P$26,'Fiscal Forecasts'!P$371)</f>
        <v>1.9630000000000001</v>
      </c>
      <c r="Q365" s="24">
        <f>IF($D$3="Yes",'NZS Fund Adjuster'!Q$26,'Fiscal Forecasts'!Q$371)</f>
        <v>2.0939999999999999</v>
      </c>
      <c r="R365" s="24">
        <f>IF($D$3="Yes",'NZS Fund Adjuster'!R$26,'Fiscal Forecasts'!R$371)</f>
        <v>2.2330000000000001</v>
      </c>
      <c r="S365" s="24">
        <f>IF($D$3="Yes",'NZS Fund Adjuster'!S$26,'Fiscal Forecasts'!S$371)</f>
        <v>2.3809999999999998</v>
      </c>
      <c r="T365" s="26">
        <f ca="1">IF(T$4=OFFSET(Choices!$B$10,0,$C$1),AVERAGE(Q$365/SUM(Q$362,-Q$364,Q$365,Q$367),R$365/SUM(R$362,-R$364,R$365,R$367),S$365/SUM(S$362,-S$364,S$365,S$367)),S$365/SUM(S$362,-S$364,S$365,S$367))*IF($D$3="Yes",SUM('NZS Fund Adjuster'!T$23,-'NZS Fund Adjuster'!T$25,'NZS Fund Adjuster'!T$26,'NZS Fund Adjuster'!T$27),SUM(Tracks!T$12,Tracks!T$14))</f>
        <v>2.1622482222923671</v>
      </c>
      <c r="U365" s="26">
        <f ca="1">IF(U$4=OFFSET(Choices!$B$10,0,$C$1),AVERAGE(R$365/SUM(R$362,-R$364,R$365,R$367),S$365/SUM(S$362,-S$364,S$365,S$367),T$365/SUM(T$362,-T$364,T$365,T$367)),T$365/SUM(T$362,-T$364,T$365,T$367))*IF($D$3="Yes",SUM('NZS Fund Adjuster'!U$23,-'NZS Fund Adjuster'!U$25,'NZS Fund Adjuster'!U$26,'NZS Fund Adjuster'!U$27),SUM(Tracks!U$12,Tracks!U$14))</f>
        <v>2.347418921776935</v>
      </c>
      <c r="V365" s="26">
        <f ca="1">IF(V$4=OFFSET(Choices!$B$10,0,$C$1),AVERAGE(S$365/SUM(S$362,-S$364,S$365,S$367),T$365/SUM(T$362,-T$364,T$365,T$367),U$365/SUM(U$362,-U$364,U$365,U$367)),U$365/SUM(U$362,-U$364,U$365,U$367))*IF($D$3="Yes",SUM('NZS Fund Adjuster'!V$23,-'NZS Fund Adjuster'!V$25,'NZS Fund Adjuster'!V$26,'NZS Fund Adjuster'!V$27),SUM(Tracks!V$12,Tracks!V$14))</f>
        <v>2.6026060350686357</v>
      </c>
      <c r="W365" s="26">
        <f ca="1">IF(W$4=OFFSET(Choices!$B$10,0,$C$1),AVERAGE(T$365/SUM(T$362,-T$364,T$365,T$367),U$365/SUM(U$362,-U$364,U$365,U$367),V$365/SUM(V$362,-V$364,V$365,V$367)),V$365/SUM(V$362,-V$364,V$365,V$367))*IF($D$3="Yes",SUM('NZS Fund Adjuster'!W$23,-'NZS Fund Adjuster'!W$25,'NZS Fund Adjuster'!W$26,'NZS Fund Adjuster'!W$27),SUM(Tracks!W$12,Tracks!W$14))</f>
        <v>2.9105007192636081</v>
      </c>
      <c r="X365" s="26">
        <f ca="1">IF(X$4=OFFSET(Choices!$B$10,0,$C$1),AVERAGE(U$365/SUM(U$362,-U$364,U$365,U$367),V$365/SUM(V$362,-V$364,V$365,V$367),W$365/SUM(W$362,-W$364,W$365,W$367)),W$365/SUM(W$362,-W$364,W$365,W$367))*IF($D$3="Yes",SUM('NZS Fund Adjuster'!X$23,-'NZS Fund Adjuster'!X$25,'NZS Fund Adjuster'!X$26,'NZS Fund Adjuster'!X$27),SUM(Tracks!X$12,Tracks!X$14))</f>
        <v>3.2258782873887055</v>
      </c>
      <c r="Y365" s="26">
        <f ca="1">IF(Y$4=OFFSET(Choices!$B$10,0,$C$1),AVERAGE(V$365/SUM(V$362,-V$364,V$365,V$367),W$365/SUM(W$362,-W$364,W$365,W$367),X$365/SUM(X$362,-X$364,X$365,X$367)),X$365/SUM(X$362,-X$364,X$365,X$367))*IF($D$3="Yes",SUM('NZS Fund Adjuster'!Y$23,-'NZS Fund Adjuster'!Y$25,'NZS Fund Adjuster'!Y$26,'NZS Fund Adjuster'!Y$27),SUM(Tracks!Y$12,Tracks!Y$14))</f>
        <v>3.5472191061028173</v>
      </c>
      <c r="Z365" s="26">
        <f ca="1">IF(Z$4=OFFSET(Choices!$B$10,0,$C$1),AVERAGE(W$365/SUM(W$362,-W$364,W$365,W$367),X$365/SUM(X$362,-X$364,X$365,X$367),Y$365/SUM(Y$362,-Y$364,Y$365,Y$367)),Y$365/SUM(Y$362,-Y$364,Y$365,Y$367))*IF($D$3="Yes",SUM('NZS Fund Adjuster'!Z$23,-'NZS Fund Adjuster'!Z$25,'NZS Fund Adjuster'!Z$26,'NZS Fund Adjuster'!Z$27),SUM(Tracks!Z$12,Tracks!Z$14))</f>
        <v>3.8720806888446475</v>
      </c>
      <c r="AA365" s="26">
        <f ca="1">IF(AA$4=OFFSET(Choices!$B$10,0,$C$1),AVERAGE(X$365/SUM(X$362,-X$364,X$365,X$367),Y$365/SUM(Y$362,-Y$364,Y$365,Y$367),Z$365/SUM(Z$362,-Z$364,Z$365,Z$367)),Z$365/SUM(Z$362,-Z$364,Z$365,Z$367))*IF($D$3="Yes",SUM('NZS Fund Adjuster'!AA$23,-'NZS Fund Adjuster'!AA$25,'NZS Fund Adjuster'!AA$26,'NZS Fund Adjuster'!AA$27),SUM(Tracks!AA$12,Tracks!AA$14))</f>
        <v>4.1990436838299878</v>
      </c>
      <c r="AB365" s="26">
        <f ca="1">IF(AB$4=OFFSET(Choices!$B$10,0,$C$1),AVERAGE(Y$365/SUM(Y$362,-Y$364,Y$365,Y$367),Z$365/SUM(Z$362,-Z$364,Z$365,Z$367),AA$365/SUM(AA$362,-AA$364,AA$365,AA$367)),AA$365/SUM(AA$362,-AA$364,AA$365,AA$367))*IF($D$3="Yes",SUM('NZS Fund Adjuster'!AB$23,-'NZS Fund Adjuster'!AB$25,'NZS Fund Adjuster'!AB$26,'NZS Fund Adjuster'!AB$27),SUM(Tracks!AB$12,Tracks!AB$14))</f>
        <v>4.5278498873268207</v>
      </c>
      <c r="AC365" s="26">
        <f ca="1">IF(AC$4=OFFSET(Choices!$B$10,0,$C$1),AVERAGE(Z$365/SUM(Z$362,-Z$364,Z$365,Z$367),AA$365/SUM(AA$362,-AA$364,AA$365,AA$367),AB$365/SUM(AB$362,-AB$364,AB$365,AB$367)),AB$365/SUM(AB$362,-AB$364,AB$365,AB$367))*IF($D$3="Yes",SUM('NZS Fund Adjuster'!AC$23,-'NZS Fund Adjuster'!AC$25,'NZS Fund Adjuster'!AC$26,'NZS Fund Adjuster'!AC$27),SUM(Tracks!AC$12,Tracks!AC$14))</f>
        <v>4.8595310163046257</v>
      </c>
      <c r="AD365" s="26"/>
      <c r="AE365" s="26"/>
    </row>
    <row r="366" spans="1:31" x14ac:dyDescent="0.2">
      <c r="A366" s="3" t="s">
        <v>514</v>
      </c>
      <c r="B366" s="4" t="str">
        <f t="shared" si="207"/>
        <v>From Fiscal Forecasts</v>
      </c>
      <c r="F366" s="21">
        <f>'Fiscal Forecasts'!F$372</f>
        <v>2.0490000000000004</v>
      </c>
      <c r="G366" s="21">
        <f>'Fiscal Forecasts'!G$372</f>
        <v>2.1040000000000001</v>
      </c>
      <c r="H366" s="21">
        <f>'Fiscal Forecasts'!H$372</f>
        <v>2.2429999999999999</v>
      </c>
      <c r="I366" s="21">
        <f>'Fiscal Forecasts'!I$372</f>
        <v>0.25</v>
      </c>
      <c r="J366" s="21">
        <f>'Fiscal Forecasts'!J$372</f>
        <v>0</v>
      </c>
      <c r="K366" s="21">
        <f>'Fiscal Forecasts'!K$372</f>
        <v>0</v>
      </c>
      <c r="L366" s="21">
        <f>'Fiscal Forecasts'!L$372</f>
        <v>0</v>
      </c>
      <c r="M366" s="21">
        <f>'Fiscal Forecasts'!M$372</f>
        <v>0</v>
      </c>
      <c r="N366" s="21">
        <f>IF($D$3="Yes",'NZS Fund Adjuster'!N$22,'Fiscal Forecasts'!N$372)</f>
        <v>0</v>
      </c>
      <c r="O366" s="24">
        <f>IF($D$3="Yes",'NZS Fund Adjuster'!O$22,'Fiscal Forecasts'!O$372)</f>
        <v>0</v>
      </c>
      <c r="P366" s="24">
        <f>IF($D$3="Yes",'NZS Fund Adjuster'!P$22,'Fiscal Forecasts'!P$372)</f>
        <v>0</v>
      </c>
      <c r="Q366" s="24">
        <f>IF($D$3="Yes",'NZS Fund Adjuster'!Q$22,'Fiscal Forecasts'!Q$372)</f>
        <v>0</v>
      </c>
      <c r="R366" s="24">
        <f>IF($D$3="Yes",'NZS Fund Adjuster'!R$22,'Fiscal Forecasts'!R$372)</f>
        <v>0</v>
      </c>
      <c r="S366" s="24">
        <f>IF($D$3="Yes",'NZS Fund Adjuster'!S$22,'Fiscal Forecasts'!S$372)</f>
        <v>0</v>
      </c>
      <c r="T366" s="26">
        <f>IF($D$3="Yes",'NZS Fund Adjuster'!T$22,Tracks!T$11)</f>
        <v>0</v>
      </c>
      <c r="U366" s="26">
        <f>IF($D$3="Yes",'NZS Fund Adjuster'!U$22,Tracks!U$11)</f>
        <v>0</v>
      </c>
      <c r="V366" s="26">
        <f>IF($D$3="Yes",'NZS Fund Adjuster'!V$22,Tracks!V$11)</f>
        <v>2.7480000000000002</v>
      </c>
      <c r="W366" s="26">
        <f>IF($D$3="Yes",'NZS Fund Adjuster'!W$22,Tracks!W$11)</f>
        <v>2.5680000000000001</v>
      </c>
      <c r="X366" s="26">
        <f>IF($D$3="Yes",'NZS Fund Adjuster'!X$22,Tracks!X$11)</f>
        <v>2.37</v>
      </c>
      <c r="Y366" s="26">
        <f>IF($D$3="Yes",'NZS Fund Adjuster'!Y$22,Tracks!Y$11)</f>
        <v>2.12</v>
      </c>
      <c r="Z366" s="26">
        <f>IF($D$3="Yes",'NZS Fund Adjuster'!Z$22,Tracks!Z$11)</f>
        <v>1.825</v>
      </c>
      <c r="AA366" s="26">
        <f>IF($D$3="Yes",'NZS Fund Adjuster'!AA$22,Tracks!AA$11)</f>
        <v>1.52</v>
      </c>
      <c r="AB366" s="26">
        <f>IF($D$3="Yes",'NZS Fund Adjuster'!AB$22,Tracks!AB$11)</f>
        <v>1.212</v>
      </c>
      <c r="AC366" s="26">
        <f>IF($D$3="Yes",'NZS Fund Adjuster'!AC$22,Tracks!AC$11)</f>
        <v>0.94099999999999995</v>
      </c>
      <c r="AD366" s="26"/>
      <c r="AE366" s="26"/>
    </row>
    <row r="367" spans="1:31" x14ac:dyDescent="0.2">
      <c r="A367" s="3" t="s">
        <v>130</v>
      </c>
      <c r="B367" s="4" t="str">
        <f t="shared" si="207"/>
        <v>From Fiscal Forecasts</v>
      </c>
      <c r="F367" s="21">
        <f>'Fiscal Forecasts'!F$373</f>
        <v>-2.5000000000000001E-2</v>
      </c>
      <c r="G367" s="21">
        <f>'Fiscal Forecasts'!G$373</f>
        <v>1.6E-2</v>
      </c>
      <c r="H367" s="21">
        <f>'Fiscal Forecasts'!H$373</f>
        <v>2.5999999999999999E-2</v>
      </c>
      <c r="I367" s="21">
        <f>'Fiscal Forecasts'!I$373</f>
        <v>0.01</v>
      </c>
      <c r="J367" s="21">
        <f>'Fiscal Forecasts'!J$373</f>
        <v>1E-3</v>
      </c>
      <c r="K367" s="21">
        <f>'Fiscal Forecasts'!K$373</f>
        <v>8.0000000000000002E-3</v>
      </c>
      <c r="L367" s="21">
        <f>'Fiscal Forecasts'!L$373</f>
        <v>2.5000000000000001E-2</v>
      </c>
      <c r="M367" s="21">
        <f>'Fiscal Forecasts'!M$373</f>
        <v>-4.0000000000000001E-3</v>
      </c>
      <c r="N367" s="21">
        <f>IF($D$3="Yes",'NZS Fund Adjuster'!N$27,'Fiscal Forecasts'!N$373)</f>
        <v>4.1000000000000002E-2</v>
      </c>
      <c r="O367" s="24">
        <f>IF($D$3="Yes",'NZS Fund Adjuster'!O$27,'Fiscal Forecasts'!O$373)</f>
        <v>6.5000000000000002E-2</v>
      </c>
      <c r="P367" s="24">
        <f>IF($D$3="Yes",'NZS Fund Adjuster'!P$27,'Fiscal Forecasts'!P$373)</f>
        <v>1.9E-2</v>
      </c>
      <c r="Q367" s="24">
        <f>IF($D$3="Yes",'NZS Fund Adjuster'!Q$27,'Fiscal Forecasts'!Q$373)</f>
        <v>2.5999999999999999E-2</v>
      </c>
      <c r="R367" s="24">
        <f>IF($D$3="Yes",'NZS Fund Adjuster'!R$27,'Fiscal Forecasts'!R$373)</f>
        <v>3.3000000000000002E-2</v>
      </c>
      <c r="S367" s="24">
        <f>IF($D$3="Yes",'NZS Fund Adjuster'!S$27,'Fiscal Forecasts'!S$373)</f>
        <v>4.1000000000000002E-2</v>
      </c>
      <c r="T367" s="26">
        <f ca="1">IF(T$4=OFFSET(Choices!$B$10,0,$C$1),0,S$367)</f>
        <v>0</v>
      </c>
      <c r="U367" s="26">
        <f ca="1">IF(U$4=OFFSET(Choices!$B$10,0,$C$1),0,T$367)</f>
        <v>0</v>
      </c>
      <c r="V367" s="26">
        <f ca="1">IF(V$4=OFFSET(Choices!$B$10,0,$C$1),0,U$367)</f>
        <v>0</v>
      </c>
      <c r="W367" s="26">
        <f ca="1">IF(W$4=OFFSET(Choices!$B$10,0,$C$1),0,V$367)</f>
        <v>0</v>
      </c>
      <c r="X367" s="26">
        <f ca="1">IF(X$4=OFFSET(Choices!$B$10,0,$C$1),0,W$367)</f>
        <v>0</v>
      </c>
      <c r="Y367" s="26">
        <f ca="1">IF(Y$4=OFFSET(Choices!$B$10,0,$C$1),0,X$367)</f>
        <v>0</v>
      </c>
      <c r="Z367" s="26">
        <f ca="1">IF(Z$4=OFFSET(Choices!$B$10,0,$C$1),0,Y$367)</f>
        <v>0</v>
      </c>
      <c r="AA367" s="26">
        <f ca="1">IF(AA$4=OFFSET(Choices!$B$10,0,$C$1),0,Z$367)</f>
        <v>0</v>
      </c>
      <c r="AB367" s="26">
        <f ca="1">IF(AB$4=OFFSET(Choices!$B$10,0,$C$1),0,AA$367)</f>
        <v>0</v>
      </c>
      <c r="AC367" s="26">
        <f ca="1">IF(AC$4=OFFSET(Choices!$B$10,0,$C$1),0,AB$367)</f>
        <v>0</v>
      </c>
      <c r="AD367" s="26"/>
      <c r="AE367" s="26"/>
    </row>
    <row r="368" spans="1:31" x14ac:dyDescent="0.2">
      <c r="A368" s="31" t="s">
        <v>507</v>
      </c>
      <c r="E368" s="68">
        <f>'Fiscal Forecasts'!$E$374</f>
        <v>9.8550000000000004</v>
      </c>
      <c r="F368" s="56">
        <f>SUM(E$368,F$362,F$365,F$366,F$367)-SUM(F$363,F$364)</f>
        <v>12.973000000000003</v>
      </c>
      <c r="G368" s="56">
        <f t="shared" ref="G368:N368" si="208">SUM(F$368,G$362,G$365,G$366,G$367)-SUM(G$363,G$364)</f>
        <v>14.212000000000002</v>
      </c>
      <c r="H368" s="56">
        <f t="shared" si="208"/>
        <v>13.688000000000002</v>
      </c>
      <c r="I368" s="56">
        <f t="shared" si="208"/>
        <v>15.656000000000004</v>
      </c>
      <c r="J368" s="56">
        <f t="shared" si="208"/>
        <v>18.652000000000005</v>
      </c>
      <c r="K368" s="56">
        <f t="shared" si="208"/>
        <v>18.703000000000003</v>
      </c>
      <c r="L368" s="56">
        <f t="shared" si="208"/>
        <v>22.548999999999999</v>
      </c>
      <c r="M368" s="56">
        <f t="shared" si="208"/>
        <v>25.808999999999997</v>
      </c>
      <c r="N368" s="56">
        <f t="shared" si="208"/>
        <v>29.521999999999998</v>
      </c>
      <c r="O368" s="57">
        <f t="shared" ref="O368:AC368" si="209">SUM(N$368,O$362,O$365,O$366,O$367)-SUM(O$363,O$364)</f>
        <v>30.345000000000002</v>
      </c>
      <c r="P368" s="57">
        <f t="shared" si="209"/>
        <v>32.364000000000004</v>
      </c>
      <c r="Q368" s="57">
        <f t="shared" si="209"/>
        <v>34.522000000000006</v>
      </c>
      <c r="R368" s="57">
        <f t="shared" si="209"/>
        <v>36.831000000000003</v>
      </c>
      <c r="S368" s="57">
        <f t="shared" si="209"/>
        <v>39.303000000000004</v>
      </c>
      <c r="T368" s="58">
        <f t="shared" ca="1" si="209"/>
        <v>41.541517961039034</v>
      </c>
      <c r="U368" s="58">
        <f t="shared" ca="1" si="209"/>
        <v>43.97173821249082</v>
      </c>
      <c r="V368" s="58">
        <f t="shared" ca="1" si="209"/>
        <v>49.414146881645898</v>
      </c>
      <c r="W368" s="58">
        <f t="shared" ca="1" si="209"/>
        <v>54.995310712013769</v>
      </c>
      <c r="X368" s="58">
        <f t="shared" ca="1" si="209"/>
        <v>60.704976533909871</v>
      </c>
      <c r="Y368" s="58">
        <f t="shared" ca="1" si="209"/>
        <v>66.497317941749529</v>
      </c>
      <c r="Z368" s="58">
        <f t="shared" ca="1" si="209"/>
        <v>72.330979888702956</v>
      </c>
      <c r="AA368" s="58">
        <f t="shared" ca="1" si="209"/>
        <v>78.198137910863622</v>
      </c>
      <c r="AB368" s="58">
        <f t="shared" ca="1" si="209"/>
        <v>84.097700232882332</v>
      </c>
      <c r="AC368" s="58">
        <f t="shared" ca="1" si="209"/>
        <v>90.069643188493316</v>
      </c>
      <c r="AD368" s="26"/>
      <c r="AE368" s="26"/>
    </row>
    <row r="369" spans="1:31" x14ac:dyDescent="0.2">
      <c r="A369" s="66" t="s">
        <v>511</v>
      </c>
      <c r="AD369" s="26"/>
      <c r="AE369" s="26"/>
    </row>
    <row r="370" spans="1:31" x14ac:dyDescent="0.2">
      <c r="A370" s="3" t="s">
        <v>508</v>
      </c>
      <c r="B370" s="4" t="str">
        <f>$B$46</f>
        <v>From Fiscal Forecasts</v>
      </c>
      <c r="F370" s="21">
        <f>'Fiscal Forecasts'!F$375</f>
        <v>12.576000000000001</v>
      </c>
      <c r="G370" s="21">
        <f>'Fiscal Forecasts'!G$375</f>
        <v>13.791</v>
      </c>
      <c r="H370" s="21">
        <f>'Fiscal Forecasts'!H$375</f>
        <v>12.877000000000001</v>
      </c>
      <c r="I370" s="21">
        <f>'Fiscal Forecasts'!I$375</f>
        <v>15.552</v>
      </c>
      <c r="J370" s="21">
        <f>'Fiscal Forecasts'!J$375</f>
        <v>18.687000000000001</v>
      </c>
      <c r="K370" s="21">
        <f>'Fiscal Forecasts'!K$375</f>
        <v>18.815000000000001</v>
      </c>
      <c r="L370" s="21">
        <f>'Fiscal Forecasts'!L$375</f>
        <v>23.419</v>
      </c>
      <c r="M370" s="21">
        <f>'Fiscal Forecasts'!M$375</f>
        <v>26.99</v>
      </c>
      <c r="N370" s="21">
        <f>IF($D$3="Yes",ROUND(N$368*'Fiscal Forecasts'!N$375/SUM('Fiscal Forecasts'!N$375:N$377),3),'Fiscal Forecasts'!N$375)</f>
        <v>31.274000000000001</v>
      </c>
      <c r="O370" s="24">
        <f>IF($D$3="Yes",ROUND(O$368*'Fiscal Forecasts'!O$375/SUM('Fiscal Forecasts'!O$375:O$377),3),'Fiscal Forecasts'!O$375)</f>
        <v>33.658999999999999</v>
      </c>
      <c r="P370" s="24">
        <f>IF($D$3="Yes",ROUND(P$368*'Fiscal Forecasts'!P$375/SUM('Fiscal Forecasts'!P$375:P$377),3),'Fiscal Forecasts'!P$375)</f>
        <v>35.03</v>
      </c>
      <c r="Q370" s="24">
        <f>IF($D$3="Yes",ROUND(Q$368*'Fiscal Forecasts'!Q$375/SUM('Fiscal Forecasts'!Q$375:Q$377),3),'Fiscal Forecasts'!Q$375)</f>
        <v>37.146999999999998</v>
      </c>
      <c r="R370" s="24">
        <f>IF($D$3="Yes",ROUND(R$368*'Fiscal Forecasts'!R$375/SUM('Fiscal Forecasts'!R$375:R$377),3),'Fiscal Forecasts'!R$375)</f>
        <v>39.411000000000001</v>
      </c>
      <c r="S370" s="24">
        <f>IF($D$3="Yes",ROUND(S$368*'Fiscal Forecasts'!S$375/SUM('Fiscal Forecasts'!S$375:S$377),3),'Fiscal Forecasts'!S$375)</f>
        <v>41.835000000000001</v>
      </c>
      <c r="T370" s="26">
        <f ca="1">IF(T$4=OFFSET(Choices!$B$10,0,$C$1),AVERAGE(Q$370/Q$368,R$370/R$368,S$370/S$368),S$370/S$368)*T$368</f>
        <v>44.456496215751464</v>
      </c>
      <c r="U370" s="26">
        <f ca="1">IF(U$4=OFFSET(Choices!$B$10,0,$C$1),AVERAGE(R$370/R$368,S$370/S$368,T$370/T$368),T$370/T$368)*U$368</f>
        <v>47.057245603711642</v>
      </c>
      <c r="V370" s="26">
        <f ca="1">IF(V$4=OFFSET(Choices!$B$10,0,$C$1),AVERAGE(S$370/S$368,T$370/T$368,U$370/U$368),U$370/U$368)*V$368</f>
        <v>52.881549391353346</v>
      </c>
      <c r="W370" s="26">
        <f ca="1">IF(W$4=OFFSET(Choices!$B$10,0,$C$1),AVERAGE(T$370/T$368,U$370/U$368,V$370/V$368),V$370/V$368)*W$368</f>
        <v>58.854344823069255</v>
      </c>
      <c r="X370" s="26">
        <f ca="1">IF(X$4=OFFSET(Choices!$B$10,0,$C$1),AVERAGE(U$370/U$368,V$370/V$368,W$370/W$368),W$370/W$368)*X$368</f>
        <v>64.964659261804812</v>
      </c>
      <c r="Y370" s="26">
        <f ca="1">IF(Y$4=OFFSET(Choices!$B$10,0,$C$1),AVERAGE(V$370/V$368,W$370/W$368,X$370/X$368),X$370/X$368)*Y$368</f>
        <v>71.163450652130862</v>
      </c>
      <c r="Z370" s="26">
        <f ca="1">IF(Z$4=OFFSET(Choices!$B$10,0,$C$1),AVERAGE(W$370/W$368,X$370/X$368,Y$370/Y$368),Y$370/Y$368)*Z$368</f>
        <v>77.406462053686823</v>
      </c>
      <c r="AA370" s="26">
        <f ca="1">IF(AA$4=OFFSET(Choices!$B$10,0,$C$1),AVERAGE(X$370/X$368,Y$370/Y$368,Z$370/Z$368),Z$370/Z$368)*AA$368</f>
        <v>83.685319958061712</v>
      </c>
      <c r="AB370" s="26">
        <f ca="1">IF(AB$4=OFFSET(Choices!$B$10,0,$C$1),AVERAGE(Y$370/Y$368,Z$370/Z$368,AA$370/AA$368),AA$370/AA$368)*AB$368</f>
        <v>89.998855979768862</v>
      </c>
      <c r="AC370" s="26">
        <f ca="1">IF(AC$4=OFFSET(Choices!$B$10,0,$C$1),AVERAGE(Z$370/Z$368,AA$370/AA$368,AB$370/AB$368),AB$370/AB$368)*AC$368</f>
        <v>96.389851601445542</v>
      </c>
      <c r="AD370" s="26"/>
      <c r="AE370" s="26"/>
    </row>
    <row r="371" spans="1:31" x14ac:dyDescent="0.2">
      <c r="A371" s="3" t="s">
        <v>509</v>
      </c>
      <c r="B371" s="4" t="str">
        <f>$B$46</f>
        <v>From Fiscal Forecasts</v>
      </c>
      <c r="F371" s="21">
        <f>'Fiscal Forecasts'!F$376</f>
        <v>0</v>
      </c>
      <c r="G371" s="21">
        <f>'Fiscal Forecasts'!G$376</f>
        <v>0</v>
      </c>
      <c r="H371" s="21">
        <f>'Fiscal Forecasts'!H$376</f>
        <v>0</v>
      </c>
      <c r="I371" s="21">
        <f>'Fiscal Forecasts'!I$376</f>
        <v>0</v>
      </c>
      <c r="J371" s="21">
        <f>'Fiscal Forecasts'!J$376</f>
        <v>-1.161</v>
      </c>
      <c r="K371" s="21">
        <f>'Fiscal Forecasts'!K$376</f>
        <v>-1.3169999999999999</v>
      </c>
      <c r="L371" s="21">
        <f>'Fiscal Forecasts'!L$376</f>
        <v>-2.0550000000000002</v>
      </c>
      <c r="M371" s="21">
        <f>'Fiscal Forecasts'!M$376</f>
        <v>-2.323</v>
      </c>
      <c r="N371" s="21">
        <f>IF($D$3="Yes",ROUND(N$368*'Fiscal Forecasts'!N$376/SUM('Fiscal Forecasts'!N$375:N$377),3),'Fiscal Forecasts'!N$376)</f>
        <v>-3.145</v>
      </c>
      <c r="O371" s="24">
        <f>IF($D$3="Yes",ROUND(O$368*'Fiscal Forecasts'!O$376/SUM('Fiscal Forecasts'!O$375:O$377),3),'Fiscal Forecasts'!O$376)</f>
        <v>-4.6619999999999999</v>
      </c>
      <c r="P371" s="24">
        <f>IF($D$3="Yes",ROUND(P$368*'Fiscal Forecasts'!P$376/SUM('Fiscal Forecasts'!P$375:P$377),3),'Fiscal Forecasts'!P$376)</f>
        <v>-4.1319999999999997</v>
      </c>
      <c r="Q371" s="24">
        <f>IF($D$3="Yes",ROUND(Q$368*'Fiscal Forecasts'!Q$376/SUM('Fiscal Forecasts'!Q$375:Q$377),3),'Fiscal Forecasts'!Q$376)</f>
        <v>-4.1890000000000001</v>
      </c>
      <c r="R371" s="24">
        <f>IF($D$3="Yes",ROUND(R$368*'Fiscal Forecasts'!R$376/SUM('Fiscal Forecasts'!R$375:R$377),3),'Fiscal Forecasts'!R$376)</f>
        <v>-4.25</v>
      </c>
      <c r="S371" s="24">
        <f>IF($D$3="Yes",ROUND(S$368*'Fiscal Forecasts'!S$376/SUM('Fiscal Forecasts'!S$375:S$377),3),'Fiscal Forecasts'!S$376)</f>
        <v>-4.3140000000000001</v>
      </c>
      <c r="T371" s="26">
        <f t="shared" ref="T371:AC371" ca="1" si="210">SUM(S$371,T$86-S$86,-(T$427-S$427))</f>
        <v>-4.7980100223476629</v>
      </c>
      <c r="U371" s="26">
        <f t="shared" ca="1" si="210"/>
        <v>-5.0786983961792016</v>
      </c>
      <c r="V371" s="26">
        <f t="shared" ca="1" si="210"/>
        <v>-5.7072919724854136</v>
      </c>
      <c r="W371" s="26">
        <f t="shared" ca="1" si="210"/>
        <v>-6.3519116519969785</v>
      </c>
      <c r="X371" s="26">
        <f t="shared" ca="1" si="210"/>
        <v>-7.0113732023285333</v>
      </c>
      <c r="Y371" s="26">
        <f t="shared" ca="1" si="210"/>
        <v>-7.6803837125785224</v>
      </c>
      <c r="Z371" s="26">
        <f t="shared" ca="1" si="210"/>
        <v>-8.3541667099818007</v>
      </c>
      <c r="AA371" s="26">
        <f t="shared" ca="1" si="210"/>
        <v>-9.031818475606384</v>
      </c>
      <c r="AB371" s="26">
        <f t="shared" ca="1" si="210"/>
        <v>-9.7132129103273019</v>
      </c>
      <c r="AC371" s="26">
        <f t="shared" ca="1" si="210"/>
        <v>-10.40296724671877</v>
      </c>
      <c r="AD371" s="26"/>
      <c r="AE371" s="26"/>
    </row>
    <row r="372" spans="1:31" x14ac:dyDescent="0.2">
      <c r="A372" s="3" t="s">
        <v>510</v>
      </c>
      <c r="B372" s="4" t="str">
        <f>$B$46</f>
        <v>From Fiscal Forecasts</v>
      </c>
      <c r="F372" s="21">
        <f>'Fiscal Forecasts'!F$377</f>
        <v>0.39700000000000002</v>
      </c>
      <c r="G372" s="21">
        <f>'Fiscal Forecasts'!G$377</f>
        <v>0.42099999999999999</v>
      </c>
      <c r="H372" s="21">
        <f>'Fiscal Forecasts'!H$377</f>
        <v>0.81100000000000005</v>
      </c>
      <c r="I372" s="21">
        <f>'Fiscal Forecasts'!I$377</f>
        <v>0.104</v>
      </c>
      <c r="J372" s="21">
        <f>'Fiscal Forecasts'!J$377</f>
        <v>1.1259999999999999</v>
      </c>
      <c r="K372" s="21">
        <f>'Fiscal Forecasts'!K$377</f>
        <v>1.2050000000000001</v>
      </c>
      <c r="L372" s="21">
        <f>'Fiscal Forecasts'!L$377</f>
        <v>1.1850000000000001</v>
      </c>
      <c r="M372" s="21">
        <f>'Fiscal Forecasts'!M$377</f>
        <v>1.1419999999999999</v>
      </c>
      <c r="N372" s="21">
        <f>IF($D$3="Yes",N$368-SUM(N$370:N$371),'Fiscal Forecasts'!N$377)</f>
        <v>1.393</v>
      </c>
      <c r="O372" s="24">
        <f>IF($D$3="Yes",O$368-SUM(O$370:O$371),'Fiscal Forecasts'!O$377)</f>
        <v>1.3480000000000001</v>
      </c>
      <c r="P372" s="24">
        <f>IF($D$3="Yes",P$368-SUM(P$370:P$371),'Fiscal Forecasts'!P$377)</f>
        <v>1.466</v>
      </c>
      <c r="Q372" s="24">
        <f>IF($D$3="Yes",Q$368-SUM(Q$370:Q$371),'Fiscal Forecasts'!Q$377)</f>
        <v>1.5640000000000001</v>
      </c>
      <c r="R372" s="24">
        <f>IF($D$3="Yes",R$368-SUM(R$370:R$371),'Fiscal Forecasts'!R$377)</f>
        <v>1.67</v>
      </c>
      <c r="S372" s="24">
        <f>IF($D$3="Yes",S$368-SUM(S$370:S$371),'Fiscal Forecasts'!S$377)</f>
        <v>1.782</v>
      </c>
      <c r="T372" s="26">
        <f ca="1">IF(T$4=OFFSET(Choices!$B$10,0,$C$1),AVERAGE(Q$372/Q$368,R$372/R$368,S$372/S$368),S$372/S$368)*T$368</f>
        <v>1.8830317676352186</v>
      </c>
      <c r="U372" s="26">
        <f ca="1">IF(U$4=OFFSET(Choices!$B$10,0,$C$1),AVERAGE(R$372/R$368,S$372/S$368,T$372/T$368),T$372/T$368)*U$368</f>
        <v>1.9931910049583725</v>
      </c>
      <c r="V372" s="26">
        <f ca="1">IF(V$4=OFFSET(Choices!$B$10,0,$C$1),AVERAGE(S$372/S$368,T$372/T$368,U$372/U$368),U$372/U$368)*V$368</f>
        <v>2.2398894627779433</v>
      </c>
      <c r="W372" s="26">
        <f ca="1">IF(W$4=OFFSET(Choices!$B$10,0,$C$1),AVERAGE(T$372/T$368,U$372/U$368,V$372/V$368),V$372/V$368)*W$368</f>
        <v>2.4928775409414814</v>
      </c>
      <c r="X372" s="26">
        <f ca="1">IF(X$4=OFFSET(Choices!$B$10,0,$C$1),AVERAGE(U$372/U$368,V$372/V$368,W$372/W$368),W$372/W$368)*X$368</f>
        <v>2.7516904744335844</v>
      </c>
      <c r="Y372" s="26">
        <f ca="1">IF(Y$4=OFFSET(Choices!$B$10,0,$C$1),AVERAGE(V$372/V$368,W$372/W$368,X$372/X$368),X$372/X$368)*Y$368</f>
        <v>3.0142510021971725</v>
      </c>
      <c r="Z372" s="26">
        <f ca="1">IF(Z$4=OFFSET(Choices!$B$10,0,$C$1),AVERAGE(W$372/W$368,X$372/X$368,Y$372/Y$368),Y$372/Y$368)*Z$368</f>
        <v>3.2786845449979101</v>
      </c>
      <c r="AA372" s="26">
        <f ca="1">IF(AA$4=OFFSET(Choices!$B$10,0,$C$1),AVERAGE(X$372/X$368,Y$372/Y$368,Z$372/Z$368),Z$372/Z$368)*AA$368</f>
        <v>3.5446364284082876</v>
      </c>
      <c r="AB372" s="26">
        <f ca="1">IF(AB$4=OFFSET(Choices!$B$10,0,$C$1),AVERAGE(Y$372/Y$368,Z$372/Z$368,AA$372/AA$368),AA$372/AA$368)*AB$368</f>
        <v>3.8120571634407434</v>
      </c>
      <c r="AC372" s="26">
        <f ca="1">IF(AC$4=OFFSET(Choices!$B$10,0,$C$1),AVERAGE(Z$372/Z$368,AA$372/AA$368,AB$372/AB$368),AB$372/AB$368)*AC$368</f>
        <v>4.0827588337665039</v>
      </c>
      <c r="AD372" s="26"/>
      <c r="AE372" s="26"/>
    </row>
    <row r="373" spans="1:31" x14ac:dyDescent="0.2">
      <c r="B373" s="4"/>
      <c r="F373" s="21"/>
      <c r="G373" s="21"/>
      <c r="H373" s="21"/>
      <c r="I373" s="21"/>
      <c r="J373" s="21"/>
      <c r="K373" s="21"/>
      <c r="L373" s="21"/>
      <c r="M373" s="21"/>
      <c r="N373" s="21"/>
      <c r="O373" s="24"/>
      <c r="P373" s="24"/>
      <c r="Q373" s="24"/>
      <c r="R373" s="24"/>
      <c r="S373" s="24"/>
      <c r="T373" s="24"/>
      <c r="U373" s="24"/>
      <c r="V373" s="24"/>
      <c r="W373" s="24"/>
      <c r="X373" s="24"/>
      <c r="Y373" s="24"/>
      <c r="Z373" s="24"/>
      <c r="AA373" s="24"/>
      <c r="AB373" s="24"/>
      <c r="AC373" s="24"/>
      <c r="AD373" s="26"/>
      <c r="AE373" s="26"/>
    </row>
    <row r="374" spans="1:31" x14ac:dyDescent="0.2">
      <c r="A374" s="31" t="s">
        <v>589</v>
      </c>
      <c r="B374" s="4"/>
      <c r="F374" s="21"/>
      <c r="G374" s="21"/>
      <c r="H374" s="21"/>
      <c r="I374" s="21"/>
      <c r="J374" s="21"/>
      <c r="K374" s="21"/>
      <c r="L374" s="21"/>
      <c r="M374" s="21"/>
      <c r="N374" s="21"/>
      <c r="O374" s="24"/>
      <c r="P374" s="24"/>
      <c r="Q374" s="24"/>
      <c r="R374" s="24"/>
      <c r="S374" s="24"/>
      <c r="T374" s="24"/>
      <c r="U374" s="24"/>
      <c r="V374" s="24"/>
      <c r="W374" s="24"/>
      <c r="X374" s="24"/>
      <c r="Y374" s="24"/>
      <c r="Z374" s="24"/>
      <c r="AA374" s="24"/>
      <c r="AB374" s="24"/>
      <c r="AC374" s="24"/>
      <c r="AD374" s="26"/>
      <c r="AE374" s="26"/>
    </row>
    <row r="375" spans="1:31" x14ac:dyDescent="0.2">
      <c r="A375" s="3" t="s">
        <v>748</v>
      </c>
      <c r="B375" s="4" t="str">
        <f>$B$46</f>
        <v>From Fiscal Forecasts</v>
      </c>
      <c r="F375" s="21">
        <f>'Fiscal Forecasts'!F$397</f>
        <v>11.757</v>
      </c>
      <c r="G375" s="21">
        <f>'Fiscal Forecasts'!G$397</f>
        <v>12.397</v>
      </c>
      <c r="H375" s="21">
        <f>'Fiscal Forecasts'!H$397</f>
        <v>13.695</v>
      </c>
      <c r="I375" s="21">
        <f>'Fiscal Forecasts'!I$397</f>
        <v>16.745000000000001</v>
      </c>
      <c r="J375" s="21">
        <f>'Fiscal Forecasts'!J$397</f>
        <v>20.233000000000001</v>
      </c>
      <c r="K375" s="21">
        <f>'Fiscal Forecasts'!K$397</f>
        <v>23.466000000000001</v>
      </c>
      <c r="L375" s="21">
        <f>'Fiscal Forecasts'!L$397</f>
        <v>27.193000000000001</v>
      </c>
      <c r="M375" s="21">
        <f>'Fiscal Forecasts'!M$397</f>
        <v>29.84</v>
      </c>
      <c r="N375" s="21">
        <f>'Fiscal Forecasts'!N$397</f>
        <v>34.021000000000001</v>
      </c>
      <c r="O375" s="24">
        <f>'Fiscal Forecasts'!O$397</f>
        <v>35.274000000000001</v>
      </c>
      <c r="P375" s="24">
        <f>'Fiscal Forecasts'!P$397</f>
        <v>36.448999999999998</v>
      </c>
      <c r="Q375" s="24">
        <f>'Fiscal Forecasts'!Q$397</f>
        <v>37.730999999999995</v>
      </c>
      <c r="R375" s="24">
        <f>'Fiscal Forecasts'!R$397</f>
        <v>39.095999999999997</v>
      </c>
      <c r="S375" s="24">
        <f>'Fiscal Forecasts'!S$397</f>
        <v>40.516999999999996</v>
      </c>
      <c r="T375" s="26">
        <f>S$375*Tracks!T$34/Tracks!S$34</f>
        <v>42.433500678560719</v>
      </c>
      <c r="U375" s="26">
        <f>T$375*Tracks!U$34/Tracks!T$34</f>
        <v>44.353377803459665</v>
      </c>
      <c r="V375" s="26">
        <f>U$375*Tracks!V$34/Tracks!U$34</f>
        <v>46.308371377675016</v>
      </c>
      <c r="W375" s="26">
        <f>V$375*Tracks!W$34/Tracks!V$34</f>
        <v>48.30324604192819</v>
      </c>
      <c r="X375" s="26">
        <f>W$375*Tracks!X$34/Tracks!W$34</f>
        <v>50.371480618612523</v>
      </c>
      <c r="Y375" s="26">
        <f>X$375*Tracks!Y$34/Tracks!X$34</f>
        <v>52.571649042922132</v>
      </c>
      <c r="Z375" s="26">
        <f>Y$375*Tracks!Z$34/Tracks!Y$34</f>
        <v>54.822720106410912</v>
      </c>
      <c r="AA375" s="26">
        <f>Z$375*Tracks!AA$34/Tracks!Z$34</f>
        <v>57.144487793386467</v>
      </c>
      <c r="AB375" s="26">
        <f>AA$375*Tracks!AB$34/Tracks!AA$34</f>
        <v>59.549480740053824</v>
      </c>
      <c r="AC375" s="26">
        <f>AB$375*Tracks!AC$34/Tracks!AB$34</f>
        <v>62.031024731117803</v>
      </c>
      <c r="AD375" s="26"/>
      <c r="AE375" s="26"/>
    </row>
    <row r="376" spans="1:31" x14ac:dyDescent="0.2">
      <c r="A376" s="3" t="s">
        <v>749</v>
      </c>
      <c r="B376" s="4" t="str">
        <f>$B$46</f>
        <v>From Fiscal Forecasts</v>
      </c>
      <c r="F376" s="21">
        <f>'Fiscal Forecasts'!F$395</f>
        <v>17.327999999999999</v>
      </c>
      <c r="G376" s="21">
        <f>'Fiscal Forecasts'!G$395</f>
        <v>20.373999999999999</v>
      </c>
      <c r="H376" s="21">
        <f>'Fiscal Forecasts'!H$395</f>
        <v>26.445999999999998</v>
      </c>
      <c r="I376" s="21">
        <f>'Fiscal Forecasts'!I$395</f>
        <v>26.996999999999996</v>
      </c>
      <c r="J376" s="21">
        <f>'Fiscal Forecasts'!J$395</f>
        <v>26.938999999999997</v>
      </c>
      <c r="K376" s="21">
        <f>'Fiscal Forecasts'!K$395</f>
        <v>30.647999999999996</v>
      </c>
      <c r="L376" s="21">
        <f>'Fiscal Forecasts'!L$395</f>
        <v>29.445999999999998</v>
      </c>
      <c r="M376" s="21">
        <f>'Fiscal Forecasts'!M$395</f>
        <v>29.947999999999997</v>
      </c>
      <c r="N376" s="21">
        <f>'Fiscal Forecasts'!N$395</f>
        <v>32.517999999999994</v>
      </c>
      <c r="O376" s="24">
        <f>'Fiscal Forecasts'!O$395</f>
        <v>33.499999999999993</v>
      </c>
      <c r="P376" s="24">
        <f>'Fiscal Forecasts'!P$395</f>
        <v>34.653999999999996</v>
      </c>
      <c r="Q376" s="24">
        <f>'Fiscal Forecasts'!Q$395</f>
        <v>35.825999999999993</v>
      </c>
      <c r="R376" s="24">
        <f>'Fiscal Forecasts'!R$395</f>
        <v>37.067999999999991</v>
      </c>
      <c r="S376" s="24">
        <f>'Fiscal Forecasts'!S$395</f>
        <v>38.383999999999993</v>
      </c>
      <c r="T376" s="26">
        <f>S$376*Tracks!T$35/Tracks!S$35</f>
        <v>40.001539948800463</v>
      </c>
      <c r="U376" s="26">
        <f>T$376*Tracks!U$35/Tracks!T$35</f>
        <v>41.699622737336178</v>
      </c>
      <c r="V376" s="26">
        <f>U$376*Tracks!V$35/Tracks!U$35</f>
        <v>43.475953032520714</v>
      </c>
      <c r="W376" s="26">
        <f>V$376*Tracks!W$35/Tracks!V$35</f>
        <v>45.317849188780222</v>
      </c>
      <c r="X376" s="26">
        <f>W$376*Tracks!X$35/Tracks!W$35</f>
        <v>47.25735007370109</v>
      </c>
      <c r="Y376" s="26">
        <f>X$376*Tracks!Y$35/Tracks!X$35</f>
        <v>49.20609008201491</v>
      </c>
      <c r="Z376" s="26">
        <f>Y$376*Tracks!Z$35/Tracks!Y$35</f>
        <v>51.221546837050369</v>
      </c>
      <c r="AA376" s="26">
        <f>Z$376*Tracks!AA$35/Tracks!Z$35</f>
        <v>53.286347578529877</v>
      </c>
      <c r="AB376" s="26">
        <f>AA$376*Tracks!AB$35/Tracks!AA$35</f>
        <v>55.405251687258065</v>
      </c>
      <c r="AC376" s="26">
        <f>AB$376*Tracks!AC$35/Tracks!AB$35</f>
        <v>57.601593424467808</v>
      </c>
      <c r="AD376" s="26"/>
      <c r="AE376" s="26"/>
    </row>
    <row r="377" spans="1:31" x14ac:dyDescent="0.2">
      <c r="A377" s="3" t="s">
        <v>750</v>
      </c>
      <c r="B377" s="4"/>
      <c r="F377" s="56">
        <f>F$375-F$376</f>
        <v>-5.5709999999999997</v>
      </c>
      <c r="G377" s="56">
        <f t="shared" ref="G377:AC377" si="211">G$375-G$376</f>
        <v>-7.9769999999999985</v>
      </c>
      <c r="H377" s="56">
        <f t="shared" si="211"/>
        <v>-12.750999999999998</v>
      </c>
      <c r="I377" s="56">
        <f t="shared" si="211"/>
        <v>-10.251999999999995</v>
      </c>
      <c r="J377" s="56">
        <f t="shared" si="211"/>
        <v>-6.705999999999996</v>
      </c>
      <c r="K377" s="56">
        <f t="shared" si="211"/>
        <v>-7.1819999999999951</v>
      </c>
      <c r="L377" s="56">
        <f t="shared" si="211"/>
        <v>-2.2529999999999966</v>
      </c>
      <c r="M377" s="56">
        <f t="shared" si="211"/>
        <v>-0.10799999999999699</v>
      </c>
      <c r="N377" s="56">
        <f t="shared" si="211"/>
        <v>1.5030000000000072</v>
      </c>
      <c r="O377" s="57">
        <f t="shared" si="211"/>
        <v>1.774000000000008</v>
      </c>
      <c r="P377" s="57">
        <f t="shared" si="211"/>
        <v>1.7950000000000017</v>
      </c>
      <c r="Q377" s="57">
        <f t="shared" si="211"/>
        <v>1.9050000000000011</v>
      </c>
      <c r="R377" s="57">
        <f t="shared" si="211"/>
        <v>2.0280000000000058</v>
      </c>
      <c r="S377" s="57">
        <f t="shared" si="211"/>
        <v>2.1330000000000027</v>
      </c>
      <c r="T377" s="58">
        <f t="shared" si="211"/>
        <v>2.4319607297602559</v>
      </c>
      <c r="U377" s="58">
        <f t="shared" si="211"/>
        <v>2.6537550661234874</v>
      </c>
      <c r="V377" s="58">
        <f t="shared" si="211"/>
        <v>2.8324183451543021</v>
      </c>
      <c r="W377" s="58">
        <f t="shared" si="211"/>
        <v>2.985396853147968</v>
      </c>
      <c r="X377" s="58">
        <f t="shared" si="211"/>
        <v>3.1141305449114327</v>
      </c>
      <c r="Y377" s="58">
        <f t="shared" si="211"/>
        <v>3.3655589609072223</v>
      </c>
      <c r="Z377" s="58">
        <f t="shared" si="211"/>
        <v>3.6011732693605438</v>
      </c>
      <c r="AA377" s="58">
        <f t="shared" si="211"/>
        <v>3.85814021485659</v>
      </c>
      <c r="AB377" s="58">
        <f t="shared" si="211"/>
        <v>4.1442290527957582</v>
      </c>
      <c r="AC377" s="58">
        <f t="shared" si="211"/>
        <v>4.4294313066499953</v>
      </c>
      <c r="AD377" s="26"/>
      <c r="AE377" s="26"/>
    </row>
    <row r="378" spans="1:31" x14ac:dyDescent="0.2">
      <c r="AD378" s="26"/>
      <c r="AE378" s="26"/>
    </row>
    <row r="379" spans="1:31" x14ac:dyDescent="0.2">
      <c r="A379" s="31" t="s">
        <v>306</v>
      </c>
      <c r="AD379" s="26"/>
      <c r="AE379" s="26"/>
    </row>
    <row r="380" spans="1:31" x14ac:dyDescent="0.2">
      <c r="A380" s="3" t="s">
        <v>822</v>
      </c>
      <c r="B380" s="4" t="str">
        <f>$B$46</f>
        <v>From Fiscal Forecasts</v>
      </c>
      <c r="F380" s="21">
        <f>'Fiscal Forecasts'!F$190-F$90</f>
        <v>0</v>
      </c>
      <c r="G380" s="21">
        <f>'Fiscal Forecasts'!G$190-G$90</f>
        <v>1.0000000000012221E-3</v>
      </c>
      <c r="H380" s="21">
        <f>'Fiscal Forecasts'!H$190-H$90</f>
        <v>0</v>
      </c>
      <c r="I380" s="21">
        <f>'Fiscal Forecasts'!I$190-I$90</f>
        <v>0.22099999999999831</v>
      </c>
      <c r="J380" s="21">
        <f>'Fiscal Forecasts'!J$190-J$90</f>
        <v>0.36799999999999855</v>
      </c>
      <c r="K380" s="21">
        <f>'Fiscal Forecasts'!K$190-K$90</f>
        <v>0.25600000000000023</v>
      </c>
      <c r="L380" s="21">
        <f>'Fiscal Forecasts'!L$190-L$90</f>
        <v>0.29300000000000104</v>
      </c>
      <c r="M380" s="21">
        <f>'Fiscal Forecasts'!M$190-M$90</f>
        <v>0.52699999999999925</v>
      </c>
      <c r="N380" s="21">
        <f>'Fiscal Forecasts'!N$190-N$90</f>
        <v>0.96799999999999997</v>
      </c>
      <c r="O380" s="24">
        <f>'Fiscal Forecasts'!O$190-O$90</f>
        <v>1.3250000000000011</v>
      </c>
      <c r="P380" s="24">
        <f>'Fiscal Forecasts'!P$190-P$90</f>
        <v>1.3249999999999993</v>
      </c>
      <c r="Q380" s="24">
        <f>'Fiscal Forecasts'!Q$190-Q$90</f>
        <v>1.3249999999999993</v>
      </c>
      <c r="R380" s="24">
        <f>'Fiscal Forecasts'!R$190-R$90</f>
        <v>1.3249999999999993</v>
      </c>
      <c r="S380" s="24">
        <f>'Fiscal Forecasts'!S$190-S$90</f>
        <v>1.3250000000000011</v>
      </c>
      <c r="T380" s="26">
        <f ca="1">IF(T$4=OFFSET(Choices!$B$10,0,$C$1),AVERAGE(Q$380/Q$368,R$380/R$368,S$380/S$368),S$380/S$368)*T$368</f>
        <v>1.4964485915555885</v>
      </c>
      <c r="U380" s="26">
        <f ca="1">IF(U$4=OFFSET(Choices!$B$10,0,$C$1),AVERAGE(R$380/R$368,S$380/S$368,T$380/T$368),T$380/T$368)*U$368</f>
        <v>1.5839923273397667</v>
      </c>
      <c r="V380" s="26">
        <f ca="1">IF(V$4=OFFSET(Choices!$B$10,0,$C$1),AVERAGE(S$380/S$368,T$380/T$368,U$380/U$368),U$380/U$368)*V$368</f>
        <v>1.7800440170075686</v>
      </c>
      <c r="W380" s="26">
        <f ca="1">IF(W$4=OFFSET(Choices!$B$10,0,$C$1),AVERAGE(T$380/T$368,U$380/U$368,V$380/V$368),V$380/V$368)*W$368</f>
        <v>1.9810940788042535</v>
      </c>
      <c r="X380" s="26">
        <f ca="1">IF(X$4=OFFSET(Choices!$B$10,0,$C$1),AVERAGE(U$380/U$368,V$380/V$368,W$380/W$368),W$380/W$368)*X$368</f>
        <v>2.1867731631709577</v>
      </c>
      <c r="Y380" s="26">
        <f ca="1">IF(Y$4=OFFSET(Choices!$B$10,0,$C$1),AVERAGE(V$380/V$368,W$380/W$368,X$380/X$368),X$380/X$368)*Y$368</f>
        <v>2.3954304671650068</v>
      </c>
      <c r="Z380" s="26">
        <f ca="1">IF(Z$4=OFFSET(Choices!$B$10,0,$C$1),AVERAGE(W$380/W$368,X$380/X$368,Y$380/Y$368),Y$380/Y$368)*Z$368</f>
        <v>2.6055762594376284</v>
      </c>
      <c r="AA380" s="26">
        <f ca="1">IF(AA$4=OFFSET(Choices!$B$10,0,$C$1),AVERAGE(X$380/X$368,Y$380/Y$368,Z$380/Z$368),Z$380/Z$368)*AA$368</f>
        <v>2.816928679609922</v>
      </c>
      <c r="AB380" s="26">
        <f ca="1">IF(AB$4=OFFSET(Choices!$B$10,0,$C$1),AVERAGE(Y$380/Y$368,Z$380/Z$368,AA$380/AA$368),AA$380/AA$368)*AB$368</f>
        <v>3.0294483986981673</v>
      </c>
      <c r="AC380" s="26">
        <f ca="1">IF(AC$4=OFFSET(Choices!$B$10,0,$C$1),AVERAGE(Z$380/Z$368,AA$380/AA$368,AB$380/AB$368),AB$380/AB$368)*AC$368</f>
        <v>3.2445754827194095</v>
      </c>
      <c r="AD380" s="26"/>
      <c r="AE380" s="26"/>
    </row>
    <row r="381" spans="1:31" x14ac:dyDescent="0.2">
      <c r="A381" s="3" t="s">
        <v>660</v>
      </c>
      <c r="F381" s="21">
        <f>F$395</f>
        <v>6.0110000000000001</v>
      </c>
      <c r="G381" s="21">
        <f t="shared" ref="G381:AC381" si="212">G$395</f>
        <v>6.7409999999999997</v>
      </c>
      <c r="H381" s="21">
        <f t="shared" si="212"/>
        <v>6.552999999999999</v>
      </c>
      <c r="I381" s="21">
        <f t="shared" si="212"/>
        <v>6.79</v>
      </c>
      <c r="J381" s="21">
        <f t="shared" si="212"/>
        <v>7.4599999999999982</v>
      </c>
      <c r="K381" s="21">
        <f t="shared" si="212"/>
        <v>8.2909999999999968</v>
      </c>
      <c r="L381" s="21">
        <f t="shared" si="212"/>
        <v>8.2879999999999967</v>
      </c>
      <c r="M381" s="21">
        <f t="shared" si="212"/>
        <v>8.7159999999999958</v>
      </c>
      <c r="N381" s="21">
        <f t="shared" si="212"/>
        <v>8.8639999999999937</v>
      </c>
      <c r="O381" s="24">
        <f t="shared" si="212"/>
        <v>9.117999999999995</v>
      </c>
      <c r="P381" s="24">
        <f t="shared" si="212"/>
        <v>9.3329999999999931</v>
      </c>
      <c r="Q381" s="24">
        <f t="shared" si="212"/>
        <v>9.5069999999999926</v>
      </c>
      <c r="R381" s="24">
        <f t="shared" si="212"/>
        <v>9.6069999999999922</v>
      </c>
      <c r="S381" s="24">
        <f t="shared" si="212"/>
        <v>9.6829999999999927</v>
      </c>
      <c r="T381" s="26">
        <f t="shared" ca="1" si="212"/>
        <v>9.8749999999999929</v>
      </c>
      <c r="U381" s="26">
        <f t="shared" ca="1" si="212"/>
        <v>10.064999999999994</v>
      </c>
      <c r="V381" s="26">
        <f t="shared" ca="1" si="212"/>
        <v>10.250999999999992</v>
      </c>
      <c r="W381" s="26">
        <f t="shared" ca="1" si="212"/>
        <v>10.443999999999992</v>
      </c>
      <c r="X381" s="26">
        <f t="shared" ca="1" si="212"/>
        <v>10.637999999999993</v>
      </c>
      <c r="Y381" s="26">
        <f t="shared" ca="1" si="212"/>
        <v>10.839999999999993</v>
      </c>
      <c r="Z381" s="26">
        <f t="shared" ca="1" si="212"/>
        <v>11.053999999999993</v>
      </c>
      <c r="AA381" s="26">
        <f t="shared" ca="1" si="212"/>
        <v>11.278999999999995</v>
      </c>
      <c r="AB381" s="26">
        <f t="shared" ca="1" si="212"/>
        <v>11.512999999999996</v>
      </c>
      <c r="AC381" s="26">
        <f t="shared" ca="1" si="212"/>
        <v>11.754999999999995</v>
      </c>
      <c r="AD381" s="26"/>
      <c r="AE381" s="26"/>
    </row>
    <row r="382" spans="1:31" x14ac:dyDescent="0.2">
      <c r="A382" s="3" t="s">
        <v>661</v>
      </c>
      <c r="F382" s="21">
        <f t="shared" ref="F382:S382" si="213">F$90-F$395</f>
        <v>3.0759999999999996</v>
      </c>
      <c r="G382" s="21">
        <f t="shared" si="213"/>
        <v>3.5359999999999996</v>
      </c>
      <c r="H382" s="21">
        <f t="shared" si="213"/>
        <v>3.8760000000000012</v>
      </c>
      <c r="I382" s="21">
        <f t="shared" si="213"/>
        <v>4.0770000000000008</v>
      </c>
      <c r="J382" s="21">
        <f t="shared" si="213"/>
        <v>4.6190000000000024</v>
      </c>
      <c r="K382" s="21">
        <f t="shared" si="213"/>
        <v>5.033000000000003</v>
      </c>
      <c r="L382" s="21">
        <f t="shared" si="213"/>
        <v>4.8380000000000027</v>
      </c>
      <c r="M382" s="21">
        <f t="shared" si="213"/>
        <v>5.0370000000000044</v>
      </c>
      <c r="N382" s="21">
        <f t="shared" si="213"/>
        <v>5.2760000000000069</v>
      </c>
      <c r="O382" s="24">
        <f t="shared" si="213"/>
        <v>5.4950000000000045</v>
      </c>
      <c r="P382" s="24">
        <f t="shared" si="213"/>
        <v>5.6590000000000078</v>
      </c>
      <c r="Q382" s="24">
        <f t="shared" si="213"/>
        <v>5.7780000000000076</v>
      </c>
      <c r="R382" s="24">
        <f t="shared" si="213"/>
        <v>5.9020000000000081</v>
      </c>
      <c r="S382" s="24">
        <f t="shared" si="213"/>
        <v>5.8710000000000075</v>
      </c>
      <c r="T382" s="26">
        <f ca="1">(S$382/S$11+IF(T$1&gt;0,T$1*IF(T$4=OFFSET(Choices!$B$10,0,$C$1),SUMPRODUCT(OFFSET(S$382,0,0,1,-OFFSET(Choices!$B$59,0,$C$1)),OFFSET(S$13,0,0,1,-OFFSET(Choices!$B$59,0,$C$1)))/OFFSET(Choices!$B$59,0,$C$1)-S$382/S$11,(S$382/S$11-R$382/R$11)/S$1),0))*T$11</f>
        <v>6.2139905006149636</v>
      </c>
      <c r="U382" s="26">
        <f ca="1">(T$382/T$11+IF(U$1&gt;0,U$1*IF(U$4=OFFSET(Choices!$B$10,0,$C$1),SUMPRODUCT(OFFSET(T$382,0,0,1,-OFFSET(Choices!$B$59,0,$C$1)),OFFSET(T$13,0,0,1,-OFFSET(Choices!$B$59,0,$C$1)))/OFFSET(Choices!$B$59,0,$C$1)-T$382/T$11,(T$382/T$11-S$382/S$11)/T$1),0))*U$11</f>
        <v>6.5581721613986286</v>
      </c>
      <c r="V382" s="26">
        <f ca="1">(U$382/U$11+IF(V$1&gt;0,V$1*IF(V$4=OFFSET(Choices!$B$10,0,$C$1),SUMPRODUCT(OFFSET(U$382,0,0,1,-OFFSET(Choices!$B$59,0,$C$1)),OFFSET(U$13,0,0,1,-OFFSET(Choices!$B$59,0,$C$1)))/OFFSET(Choices!$B$59,0,$C$1)-U$382/U$11,(U$382/U$11-T$382/T$11)/U$1),0))*V$11</f>
        <v>6.9064184684448087</v>
      </c>
      <c r="W382" s="26">
        <f ca="1">(V$382/V$11+IF(W$1&gt;0,W$1*IF(W$4=OFFSET(Choices!$B$10,0,$C$1),SUMPRODUCT(OFFSET(V$382,0,0,1,-OFFSET(Choices!$B$59,0,$C$1)),OFFSET(V$13,0,0,1,-OFFSET(Choices!$B$59,0,$C$1)))/OFFSET(Choices!$B$59,0,$C$1)-V$382/V$11,(V$382/V$11-U$382/U$11)/V$1),0))*W$11</f>
        <v>7.2516581769879878</v>
      </c>
      <c r="X382" s="26">
        <f ca="1">(W$382/W$11+IF(X$1&gt;0,X$1*IF(X$4=OFFSET(Choices!$B$10,0,$C$1),SUMPRODUCT(OFFSET(W$382,0,0,1,-OFFSET(Choices!$B$59,0,$C$1)),OFFSET(W$13,0,0,1,-OFFSET(Choices!$B$59,0,$C$1)))/OFFSET(Choices!$B$59,0,$C$1)-W$382/W$11,(W$382/W$11-V$382/V$11)/W$1),0))*X$11</f>
        <v>7.5933392429590931</v>
      </c>
      <c r="Y382" s="26">
        <f ca="1">(X$382/X$11+IF(Y$1&gt;0,Y$1*IF(Y$4=OFFSET(Choices!$B$10,0,$C$1),SUMPRODUCT(OFFSET(X$382,0,0,1,-OFFSET(Choices!$B$59,0,$C$1)),OFFSET(X$13,0,0,1,-OFFSET(Choices!$B$59,0,$C$1)))/OFFSET(Choices!$B$59,0,$C$1)-X$382/X$11,(X$382/X$11-W$382/W$11)/X$1),0))*Y$11</f>
        <v>7.9267123217306494</v>
      </c>
      <c r="Z382" s="26">
        <f ca="1">(Y$382/Y$11+IF(Z$1&gt;0,Z$1*IF(Z$4=OFFSET(Choices!$B$10,0,$C$1),SUMPRODUCT(OFFSET(Y$382,0,0,1,-OFFSET(Choices!$B$59,0,$C$1)),OFFSET(Y$13,0,0,1,-OFFSET(Choices!$B$59,0,$C$1)))/OFFSET(Choices!$B$59,0,$C$1)-Y$382/Y$11,(Y$382/Y$11-X$382/X$11)/Y$1),0))*Z$11</f>
        <v>8.2698473995519723</v>
      </c>
      <c r="AA382" s="26">
        <f ca="1">(Z$382/Z$11+IF(AA$1&gt;0,AA$1*IF(AA$4=OFFSET(Choices!$B$10,0,$C$1),SUMPRODUCT(OFFSET(Z$382,0,0,1,-OFFSET(Choices!$B$59,0,$C$1)),OFFSET(Z$13,0,0,1,-OFFSET(Choices!$B$59,0,$C$1)))/OFFSET(Choices!$B$59,0,$C$1)-Z$382/Z$11,(Z$382/Z$11-Y$382/Y$11)/Z$1),0))*AA$11</f>
        <v>8.622985890583994</v>
      </c>
      <c r="AB382" s="26">
        <f ca="1">(AA$382/AA$11+IF(AB$1&gt;0,AB$1*IF(AB$4=OFFSET(Choices!$B$10,0,$C$1),SUMPRODUCT(OFFSET(AA$382,0,0,1,-OFFSET(Choices!$B$59,0,$C$1)),OFFSET(AA$13,0,0,1,-OFFSET(Choices!$B$59,0,$C$1)))/OFFSET(Choices!$B$59,0,$C$1)-AA$382/AA$11,(AA$382/AA$11-Z$382/Z$11)/AA$1),0))*AB$11</f>
        <v>8.9847641407683305</v>
      </c>
      <c r="AC382" s="26">
        <f ca="1">(AB$382/AB$11+IF(AC$1&gt;0,AC$1*IF(AC$4=OFFSET(Choices!$B$10,0,$C$1),SUMPRODUCT(OFFSET(AB$382,0,0,1,-OFFSET(Choices!$B$59,0,$C$1)),OFFSET(AB$13,0,0,1,-OFFSET(Choices!$B$59,0,$C$1)))/OFFSET(Choices!$B$59,0,$C$1)-AB$382/AB$11,(AB$382/AB$11-AA$382/AA$11)/AB$1),0))*AC$11</f>
        <v>9.3570676344242294</v>
      </c>
      <c r="AD382" s="26"/>
      <c r="AE382" s="26"/>
    </row>
    <row r="383" spans="1:31" x14ac:dyDescent="0.2">
      <c r="A383" s="31" t="s">
        <v>624</v>
      </c>
      <c r="F383" s="56">
        <f>SUM(F$380:F$382)</f>
        <v>9.0869999999999997</v>
      </c>
      <c r="G383" s="56">
        <f t="shared" ref="G383:AC383" si="214">SUM(G$380:G$382)</f>
        <v>10.278</v>
      </c>
      <c r="H383" s="56">
        <f t="shared" si="214"/>
        <v>10.429</v>
      </c>
      <c r="I383" s="56">
        <f t="shared" si="214"/>
        <v>11.087999999999999</v>
      </c>
      <c r="J383" s="56">
        <f t="shared" si="214"/>
        <v>12.446999999999999</v>
      </c>
      <c r="K383" s="56">
        <f t="shared" si="214"/>
        <v>13.58</v>
      </c>
      <c r="L383" s="56">
        <f t="shared" si="214"/>
        <v>13.419</v>
      </c>
      <c r="M383" s="56">
        <f t="shared" si="214"/>
        <v>14.28</v>
      </c>
      <c r="N383" s="56">
        <f t="shared" si="214"/>
        <v>15.108000000000001</v>
      </c>
      <c r="O383" s="57">
        <f t="shared" si="214"/>
        <v>15.938000000000001</v>
      </c>
      <c r="P383" s="57">
        <f t="shared" si="214"/>
        <v>16.317</v>
      </c>
      <c r="Q383" s="57">
        <f t="shared" si="214"/>
        <v>16.61</v>
      </c>
      <c r="R383" s="57">
        <f t="shared" si="214"/>
        <v>16.834</v>
      </c>
      <c r="S383" s="57">
        <f t="shared" si="214"/>
        <v>16.879000000000001</v>
      </c>
      <c r="T383" s="58">
        <f t="shared" ca="1" si="214"/>
        <v>17.585439092170546</v>
      </c>
      <c r="U383" s="58">
        <f t="shared" ca="1" si="214"/>
        <v>18.207164488738389</v>
      </c>
      <c r="V383" s="58">
        <f t="shared" ca="1" si="214"/>
        <v>18.937462485452372</v>
      </c>
      <c r="W383" s="58">
        <f t="shared" ca="1" si="214"/>
        <v>19.676752255792234</v>
      </c>
      <c r="X383" s="58">
        <f t="shared" ca="1" si="214"/>
        <v>20.418112406130042</v>
      </c>
      <c r="Y383" s="58">
        <f t="shared" ca="1" si="214"/>
        <v>21.16214278889565</v>
      </c>
      <c r="Z383" s="58">
        <f t="shared" ca="1" si="214"/>
        <v>21.929423658989592</v>
      </c>
      <c r="AA383" s="58">
        <f t="shared" ca="1" si="214"/>
        <v>22.71891457019391</v>
      </c>
      <c r="AB383" s="58">
        <f t="shared" ca="1" si="214"/>
        <v>23.527212539466493</v>
      </c>
      <c r="AC383" s="58">
        <f t="shared" ca="1" si="214"/>
        <v>24.356643117143634</v>
      </c>
      <c r="AD383" s="26"/>
      <c r="AE383" s="26"/>
    </row>
    <row r="384" spans="1:31" x14ac:dyDescent="0.2">
      <c r="A384" s="3" t="s">
        <v>662</v>
      </c>
      <c r="B384" s="4" t="str">
        <f>$B$46</f>
        <v>From Fiscal Forecasts</v>
      </c>
      <c r="F384" s="21">
        <f>'Fiscal Forecasts'!F$309</f>
        <v>3.637</v>
      </c>
      <c r="G384" s="21">
        <f>'Fiscal Forecasts'!G$309</f>
        <v>5.5810000000000004</v>
      </c>
      <c r="H384" s="21">
        <f>'Fiscal Forecasts'!H$309</f>
        <v>8.4920000000000009</v>
      </c>
      <c r="I384" s="21">
        <f>'Fiscal Forecasts'!I$309</f>
        <v>10.419</v>
      </c>
      <c r="J384" s="21">
        <f>'Fiscal Forecasts'!J$309</f>
        <v>11.494999999999999</v>
      </c>
      <c r="K384" s="21">
        <f>'Fiscal Forecasts'!K$309</f>
        <v>12.445</v>
      </c>
      <c r="L384" s="21">
        <f>'Fiscal Forecasts'!L$309</f>
        <v>13.202</v>
      </c>
      <c r="M384" s="21">
        <f>'Fiscal Forecasts'!M$309</f>
        <v>14.63</v>
      </c>
      <c r="N384" s="21">
        <f>'Fiscal Forecasts'!N$309</f>
        <v>15.598000000000001</v>
      </c>
      <c r="O384" s="24">
        <f>'Fiscal Forecasts'!O$309</f>
        <v>16.64</v>
      </c>
      <c r="P384" s="24">
        <f>'Fiscal Forecasts'!P$309</f>
        <v>17.753</v>
      </c>
      <c r="Q384" s="24">
        <f>'Fiscal Forecasts'!Q$309</f>
        <v>18.959</v>
      </c>
      <c r="R384" s="24">
        <f>'Fiscal Forecasts'!R$309</f>
        <v>20.207999999999998</v>
      </c>
      <c r="S384" s="24">
        <f>'Fiscal Forecasts'!S$309</f>
        <v>21.507000000000001</v>
      </c>
      <c r="T384" s="26">
        <f t="shared" ref="T384:AC384" ca="1" si="215">S$384*T$11/S$11</f>
        <v>22.462182914832098</v>
      </c>
      <c r="U384" s="26">
        <f t="shared" ca="1" si="215"/>
        <v>23.457944762128278</v>
      </c>
      <c r="V384" s="26">
        <f t="shared" ca="1" si="215"/>
        <v>24.510981709311817</v>
      </c>
      <c r="W384" s="26">
        <f t="shared" ca="1" si="215"/>
        <v>25.603162581545426</v>
      </c>
      <c r="X384" s="26">
        <f t="shared" ca="1" si="215"/>
        <v>26.740387178832449</v>
      </c>
      <c r="Y384" s="26">
        <f t="shared" ca="1" si="215"/>
        <v>27.914379926439086</v>
      </c>
      <c r="Z384" s="26">
        <f t="shared" ca="1" si="215"/>
        <v>29.122750123265075</v>
      </c>
      <c r="AA384" s="26">
        <f t="shared" ca="1" si="215"/>
        <v>30.366347923363495</v>
      </c>
      <c r="AB384" s="26">
        <f t="shared" ca="1" si="215"/>
        <v>31.640371139405094</v>
      </c>
      <c r="AC384" s="26">
        <f t="shared" ca="1" si="215"/>
        <v>32.951459614429041</v>
      </c>
      <c r="AD384" s="26"/>
      <c r="AE384" s="26"/>
    </row>
    <row r="385" spans="1:31" x14ac:dyDescent="0.2">
      <c r="A385" s="3" t="s">
        <v>664</v>
      </c>
      <c r="B385" s="4" t="str">
        <f>$B$46</f>
        <v>From Fiscal Forecasts</v>
      </c>
      <c r="F385" s="21">
        <f>'Fiscal Forecasts'!F$117-SUM(F$383:F$384)</f>
        <v>-1.9960000000000004</v>
      </c>
      <c r="G385" s="21">
        <f>'Fiscal Forecasts'!G$117-SUM(G$383:G$384)</f>
        <v>-2.9110000000000014</v>
      </c>
      <c r="H385" s="21">
        <f>'Fiscal Forecasts'!H$117-SUM(H$383:H$384)</f>
        <v>-3.3170000000000002</v>
      </c>
      <c r="I385" s="21">
        <f>'Fiscal Forecasts'!I$117-SUM(I$383:I$384)</f>
        <v>-3.0599999999999987</v>
      </c>
      <c r="J385" s="21">
        <f>'Fiscal Forecasts'!J$117-SUM(J$383:J$384)</f>
        <v>-3.375</v>
      </c>
      <c r="K385" s="21">
        <f>'Fiscal Forecasts'!K$117-SUM(K$383:K$384)</f>
        <v>-4.2590000000000003</v>
      </c>
      <c r="L385" s="21">
        <f>'Fiscal Forecasts'!L$117-SUM(L$383:L$384)</f>
        <v>-4.0080000000000027</v>
      </c>
      <c r="M385" s="21">
        <f>'Fiscal Forecasts'!M$117-SUM(M$383:M$384)</f>
        <v>-4.1539999999999999</v>
      </c>
      <c r="N385" s="21">
        <f>'Fiscal Forecasts'!N$117-SUM(N$383:N$384)</f>
        <v>-4.2090000000000032</v>
      </c>
      <c r="O385" s="24">
        <f>'Fiscal Forecasts'!O$117-SUM(O$383:O$384)</f>
        <v>-4.4910000000000032</v>
      </c>
      <c r="P385" s="24">
        <f>'Fiscal Forecasts'!P$117-SUM(P$383:P$384)</f>
        <v>-4.6739999999999995</v>
      </c>
      <c r="Q385" s="24">
        <f>'Fiscal Forecasts'!Q$117-SUM(Q$383:Q$384)</f>
        <v>-4.7790000000000035</v>
      </c>
      <c r="R385" s="24">
        <f>'Fiscal Forecasts'!R$117-SUM(R$383:R$384)</f>
        <v>-4.8840000000000003</v>
      </c>
      <c r="S385" s="24">
        <f>'Fiscal Forecasts'!S$117-SUM(S$383:S$384)</f>
        <v>-4.8430000000000035</v>
      </c>
      <c r="T385" s="26">
        <f t="shared" ref="T385:AC385" ca="1" si="216">S$385*T$384/S$384</f>
        <v>-5.058090475497834</v>
      </c>
      <c r="U385" s="26">
        <f t="shared" ca="1" si="216"/>
        <v>-5.2823186164033711</v>
      </c>
      <c r="V385" s="26">
        <f t="shared" ca="1" si="216"/>
        <v>-5.5194441074160592</v>
      </c>
      <c r="W385" s="26">
        <f t="shared" ca="1" si="216"/>
        <v>-5.7653841252812832</v>
      </c>
      <c r="X385" s="26">
        <f t="shared" ca="1" si="216"/>
        <v>-6.0214672017057529</v>
      </c>
      <c r="Y385" s="26">
        <f t="shared" ca="1" si="216"/>
        <v>-6.2858298220925555</v>
      </c>
      <c r="Z385" s="26">
        <f t="shared" ca="1" si="216"/>
        <v>-6.5579336423942376</v>
      </c>
      <c r="AA385" s="26">
        <f t="shared" ca="1" si="216"/>
        <v>-6.8379701024247694</v>
      </c>
      <c r="AB385" s="26">
        <f t="shared" ca="1" si="216"/>
        <v>-7.1248578336420225</v>
      </c>
      <c r="AC385" s="26">
        <f t="shared" ca="1" si="216"/>
        <v>-7.4200920124926748</v>
      </c>
      <c r="AD385" s="26"/>
      <c r="AE385" s="26"/>
    </row>
    <row r="386" spans="1:31" x14ac:dyDescent="0.2">
      <c r="A386" s="31" t="s">
        <v>663</v>
      </c>
      <c r="F386" s="56">
        <f>SUM(F$383:F$385)</f>
        <v>10.728</v>
      </c>
      <c r="G386" s="56">
        <f t="shared" ref="G386:AC386" si="217">SUM(G$383:G$385)</f>
        <v>12.948</v>
      </c>
      <c r="H386" s="56">
        <f t="shared" si="217"/>
        <v>15.603999999999999</v>
      </c>
      <c r="I386" s="56">
        <f t="shared" si="217"/>
        <v>18.446999999999999</v>
      </c>
      <c r="J386" s="56">
        <f t="shared" si="217"/>
        <v>20.567</v>
      </c>
      <c r="K386" s="56">
        <f t="shared" si="217"/>
        <v>21.765999999999998</v>
      </c>
      <c r="L386" s="56">
        <f t="shared" si="217"/>
        <v>22.613</v>
      </c>
      <c r="M386" s="56">
        <f t="shared" si="217"/>
        <v>24.756</v>
      </c>
      <c r="N386" s="56">
        <f t="shared" si="217"/>
        <v>26.497</v>
      </c>
      <c r="O386" s="57">
        <f t="shared" si="217"/>
        <v>28.087</v>
      </c>
      <c r="P386" s="57">
        <f t="shared" si="217"/>
        <v>29.396000000000001</v>
      </c>
      <c r="Q386" s="57">
        <f t="shared" si="217"/>
        <v>30.79</v>
      </c>
      <c r="R386" s="57">
        <f t="shared" si="217"/>
        <v>32.158000000000001</v>
      </c>
      <c r="S386" s="57">
        <f t="shared" si="217"/>
        <v>33.542999999999999</v>
      </c>
      <c r="T386" s="58">
        <f t="shared" ca="1" si="217"/>
        <v>34.989531531504809</v>
      </c>
      <c r="U386" s="58">
        <f t="shared" ca="1" si="217"/>
        <v>36.382790634463291</v>
      </c>
      <c r="V386" s="58">
        <f t="shared" ca="1" si="217"/>
        <v>37.929000087348136</v>
      </c>
      <c r="W386" s="58">
        <f t="shared" ca="1" si="217"/>
        <v>39.51453071205637</v>
      </c>
      <c r="X386" s="58">
        <f t="shared" ca="1" si="217"/>
        <v>41.137032383256738</v>
      </c>
      <c r="Y386" s="58">
        <f t="shared" ca="1" si="217"/>
        <v>42.790692893242181</v>
      </c>
      <c r="Z386" s="58">
        <f t="shared" ca="1" si="217"/>
        <v>44.49424013986043</v>
      </c>
      <c r="AA386" s="58">
        <f t="shared" ca="1" si="217"/>
        <v>46.247292391132639</v>
      </c>
      <c r="AB386" s="58">
        <f t="shared" ca="1" si="217"/>
        <v>48.042725845229562</v>
      </c>
      <c r="AC386" s="58">
        <f t="shared" ca="1" si="217"/>
        <v>49.88801071908</v>
      </c>
      <c r="AD386" s="26"/>
      <c r="AE386" s="26"/>
    </row>
    <row r="387" spans="1:31" x14ac:dyDescent="0.2">
      <c r="AD387" s="26"/>
      <c r="AE387" s="26"/>
    </row>
    <row r="388" spans="1:31" x14ac:dyDescent="0.2">
      <c r="A388" s="31" t="s">
        <v>31</v>
      </c>
      <c r="AD388" s="26"/>
      <c r="AE388" s="26"/>
    </row>
    <row r="389" spans="1:31" x14ac:dyDescent="0.2">
      <c r="A389" s="3" t="s">
        <v>515</v>
      </c>
      <c r="B389" s="4" t="str">
        <f t="shared" ref="B389:B394" si="218">$B$46</f>
        <v>From Fiscal Forecasts</v>
      </c>
      <c r="F389" s="21">
        <f>'Fiscal Forecasts'!F$334</f>
        <v>1.1759999999999999</v>
      </c>
      <c r="G389" s="21">
        <f>'Fiscal Forecasts'!G$334</f>
        <v>1.2010000000000001</v>
      </c>
      <c r="H389" s="21">
        <f>'Fiscal Forecasts'!H$334</f>
        <v>1.35</v>
      </c>
      <c r="I389" s="21">
        <f>'Fiscal Forecasts'!I$334</f>
        <v>1.5249999999999999</v>
      </c>
      <c r="J389" s="21">
        <f>'Fiscal Forecasts'!J$334</f>
        <v>1.5640000000000001</v>
      </c>
      <c r="K389" s="21">
        <f>'Fiscal Forecasts'!K$334</f>
        <v>1.5860000000000001</v>
      </c>
      <c r="L389" s="21">
        <f>'Fiscal Forecasts'!L$334</f>
        <v>1.4810000000000001</v>
      </c>
      <c r="M389" s="21">
        <f>'Fiscal Forecasts'!M$334</f>
        <v>1.512</v>
      </c>
      <c r="N389" s="21">
        <f>'Fiscal Forecasts'!N$334</f>
        <v>1.518</v>
      </c>
      <c r="O389" s="24">
        <f>'Fiscal Forecasts'!O$334</f>
        <v>1.595</v>
      </c>
      <c r="P389" s="24">
        <f>'Fiscal Forecasts'!P$334</f>
        <v>1.629</v>
      </c>
      <c r="Q389" s="24">
        <f>'Fiscal Forecasts'!Q$334</f>
        <v>1.641</v>
      </c>
      <c r="R389" s="24">
        <f>'Fiscal Forecasts'!R$334</f>
        <v>1.649</v>
      </c>
      <c r="S389" s="24">
        <f>'Fiscal Forecasts'!S$334</f>
        <v>1.6910000000000001</v>
      </c>
      <c r="T389" s="26">
        <f>SUM(Tracks!T$19,Tracks!T$24)</f>
        <v>1.7410000000000001</v>
      </c>
      <c r="U389" s="26">
        <f>SUM(Tracks!U$19,Tracks!U$24)</f>
        <v>1.7910000000000001</v>
      </c>
      <c r="V389" s="26">
        <f>SUM(Tracks!V$19,Tracks!V$24)</f>
        <v>1.8470000000000002</v>
      </c>
      <c r="W389" s="26">
        <f>SUM(Tracks!W$19,Tracks!W$24)</f>
        <v>1.9070000000000003</v>
      </c>
      <c r="X389" s="26">
        <f>SUM(Tracks!X$19,Tracks!X$24)</f>
        <v>1.9680000000000002</v>
      </c>
      <c r="Y389" s="26">
        <f>SUM(Tracks!Y$19,Tracks!Y$24)</f>
        <v>2.0310000000000001</v>
      </c>
      <c r="Z389" s="26">
        <f>SUM(Tracks!Z$19,Tracks!Z$24)</f>
        <v>2.0980000000000003</v>
      </c>
      <c r="AA389" s="26">
        <f>SUM(Tracks!AA$19,Tracks!AA$24)</f>
        <v>2.1670000000000003</v>
      </c>
      <c r="AB389" s="26">
        <f>SUM(Tracks!AB$19,Tracks!AB$24)</f>
        <v>2.2330000000000001</v>
      </c>
      <c r="AC389" s="26">
        <f>SUM(Tracks!AC$19,Tracks!AC$24)</f>
        <v>2.2989999999999999</v>
      </c>
      <c r="AD389" s="26"/>
      <c r="AE389" s="26"/>
    </row>
    <row r="390" spans="1:31" x14ac:dyDescent="0.2">
      <c r="A390" s="3" t="s">
        <v>516</v>
      </c>
      <c r="B390" s="4" t="str">
        <f t="shared" si="218"/>
        <v>From Fiscal Forecasts</v>
      </c>
      <c r="F390" s="21">
        <f>'Fiscal Forecasts'!F$335</f>
        <v>-0.48799999999999999</v>
      </c>
      <c r="G390" s="21">
        <f>'Fiscal Forecasts'!G$335</f>
        <v>-0.48699999999999999</v>
      </c>
      <c r="H390" s="21">
        <f>'Fiscal Forecasts'!H$335</f>
        <v>-0.53200000000000003</v>
      </c>
      <c r="I390" s="21">
        <f>'Fiscal Forecasts'!I$335</f>
        <v>-0.72799999999999998</v>
      </c>
      <c r="J390" s="21">
        <f>'Fiscal Forecasts'!J$335</f>
        <v>-0.71299999999999997</v>
      </c>
      <c r="K390" s="21">
        <f>'Fiscal Forecasts'!K$335</f>
        <v>-0.70099999999999996</v>
      </c>
      <c r="L390" s="21">
        <f>'Fiscal Forecasts'!L$335</f>
        <v>-0.53600000000000003</v>
      </c>
      <c r="M390" s="21">
        <f>'Fiscal Forecasts'!M$335</f>
        <v>-0.63</v>
      </c>
      <c r="N390" s="21">
        <f>'Fiscal Forecasts'!N$335</f>
        <v>-0.60199999999999998</v>
      </c>
      <c r="O390" s="24">
        <f>'Fiscal Forecasts'!O$335</f>
        <v>-0.67700000000000005</v>
      </c>
      <c r="P390" s="24">
        <f>'Fiscal Forecasts'!P$335</f>
        <v>-0.68500000000000005</v>
      </c>
      <c r="Q390" s="24">
        <f>'Fiscal Forecasts'!Q$335</f>
        <v>-0.69</v>
      </c>
      <c r="R390" s="24">
        <f>'Fiscal Forecasts'!R$335</f>
        <v>-0.69299999999999995</v>
      </c>
      <c r="S390" s="24">
        <f>'Fiscal Forecasts'!S$335</f>
        <v>-0.71099999999999997</v>
      </c>
      <c r="T390" s="26">
        <f>Tracks!T$20</f>
        <v>-0.71599999999999997</v>
      </c>
      <c r="U390" s="26">
        <f>Tracks!U$20</f>
        <v>-0.72799999999999998</v>
      </c>
      <c r="V390" s="26">
        <f>Tracks!V$20</f>
        <v>-0.74299999999999999</v>
      </c>
      <c r="W390" s="26">
        <f>Tracks!W$20</f>
        <v>-0.75800000000000001</v>
      </c>
      <c r="X390" s="26">
        <f>Tracks!X$20</f>
        <v>-0.78300000000000003</v>
      </c>
      <c r="Y390" s="26">
        <f>Tracks!Y$20</f>
        <v>-0.80400000000000005</v>
      </c>
      <c r="Z390" s="26">
        <f>Tracks!Z$20</f>
        <v>-0.82900000000000007</v>
      </c>
      <c r="AA390" s="26">
        <f>Tracks!AA$20</f>
        <v>-0.85400000000000009</v>
      </c>
      <c r="AB390" s="26">
        <f>Tracks!AB$20</f>
        <v>-0.87600000000000011</v>
      </c>
      <c r="AC390" s="26">
        <f>Tracks!AC$20</f>
        <v>-0.89900000000000013</v>
      </c>
      <c r="AD390" s="26"/>
      <c r="AE390" s="26"/>
    </row>
    <row r="391" spans="1:31" x14ac:dyDescent="0.2">
      <c r="A391" s="3" t="s">
        <v>517</v>
      </c>
      <c r="B391" s="4" t="str">
        <f t="shared" si="218"/>
        <v>From Fiscal Forecasts</v>
      </c>
      <c r="F391" s="21">
        <f>'Fiscal Forecasts'!F$336</f>
        <v>-0.55500000000000005</v>
      </c>
      <c r="G391" s="21">
        <f>'Fiscal Forecasts'!G$336</f>
        <v>-0.629</v>
      </c>
      <c r="H391" s="21">
        <f>'Fiscal Forecasts'!H$336</f>
        <v>-0.71</v>
      </c>
      <c r="I391" s="21">
        <f>'Fiscal Forecasts'!I$336</f>
        <v>-0.754</v>
      </c>
      <c r="J391" s="21">
        <f>'Fiscal Forecasts'!J$336</f>
        <v>-0.80200000000000005</v>
      </c>
      <c r="K391" s="21">
        <f>'Fiscal Forecasts'!K$336</f>
        <v>-0.877</v>
      </c>
      <c r="L391" s="21">
        <f>'Fiscal Forecasts'!L$336</f>
        <v>-1.054</v>
      </c>
      <c r="M391" s="21">
        <f>'Fiscal Forecasts'!M$336</f>
        <v>-1.032</v>
      </c>
      <c r="N391" s="21">
        <f>'Fiscal Forecasts'!N$336</f>
        <v>-1.1140000000000001</v>
      </c>
      <c r="O391" s="24">
        <f>'Fiscal Forecasts'!O$336</f>
        <v>-1.171</v>
      </c>
      <c r="P391" s="24">
        <f>'Fiscal Forecasts'!P$336</f>
        <v>-1.2490000000000001</v>
      </c>
      <c r="Q391" s="24">
        <f>'Fiscal Forecasts'!Q$336</f>
        <v>-1.31</v>
      </c>
      <c r="R391" s="24">
        <f>'Fiscal Forecasts'!R$336</f>
        <v>-1.395</v>
      </c>
      <c r="S391" s="24">
        <f>'Fiscal Forecasts'!S$336</f>
        <v>-1.4490000000000001</v>
      </c>
      <c r="T391" s="26">
        <f>Tracks!T$21</f>
        <v>-1.4930000000000001</v>
      </c>
      <c r="U391" s="26">
        <f>Tracks!U$21</f>
        <v>-1.554</v>
      </c>
      <c r="V391" s="26">
        <f>Tracks!V$21</f>
        <v>-1.611</v>
      </c>
      <c r="W391" s="26">
        <f>Tracks!W$21</f>
        <v>-1.6639999999999999</v>
      </c>
      <c r="X391" s="26">
        <f>Tracks!X$21</f>
        <v>-1.716</v>
      </c>
      <c r="Y391" s="26">
        <f>Tracks!Y$21</f>
        <v>-1.766</v>
      </c>
      <c r="Z391" s="26">
        <f>Tracks!Z$21</f>
        <v>-1.8120000000000001</v>
      </c>
      <c r="AA391" s="26">
        <f>Tracks!AA$21</f>
        <v>-1.8660000000000001</v>
      </c>
      <c r="AB391" s="26">
        <f>Tracks!AB$21</f>
        <v>-1.9200000000000002</v>
      </c>
      <c r="AC391" s="26">
        <f>Tracks!AC$21</f>
        <v>-1.9770000000000001</v>
      </c>
      <c r="AD391" s="26"/>
      <c r="AE391" s="26"/>
    </row>
    <row r="392" spans="1:31" x14ac:dyDescent="0.2">
      <c r="A392" s="3" t="s">
        <v>518</v>
      </c>
      <c r="B392" s="4" t="str">
        <f t="shared" si="218"/>
        <v>From Fiscal Forecasts</v>
      </c>
      <c r="F392" s="21">
        <f>'Fiscal Forecasts'!F$337</f>
        <v>0.36</v>
      </c>
      <c r="G392" s="21">
        <f>'Fiscal Forecasts'!G$337</f>
        <v>0.40699999999999997</v>
      </c>
      <c r="H392" s="21">
        <f>'Fiscal Forecasts'!H$337</f>
        <v>0.46500000000000002</v>
      </c>
      <c r="I392" s="21">
        <f>'Fiscal Forecasts'!I$337</f>
        <v>0.46300000000000002</v>
      </c>
      <c r="J392" s="21">
        <f>'Fiscal Forecasts'!J$337</f>
        <v>0.48399999999999999</v>
      </c>
      <c r="K392" s="21">
        <f>'Fiscal Forecasts'!K$337</f>
        <v>0.52600000000000002</v>
      </c>
      <c r="L392" s="21">
        <f>'Fiscal Forecasts'!L$337</f>
        <v>0.59</v>
      </c>
      <c r="M392" s="21">
        <f>'Fiscal Forecasts'!M$337</f>
        <v>0.57899999999999996</v>
      </c>
      <c r="N392" s="21">
        <f>'Fiscal Forecasts'!N$337</f>
        <v>0.60399999999999998</v>
      </c>
      <c r="O392" s="24">
        <f>'Fiscal Forecasts'!O$337</f>
        <v>0.59599999999999997</v>
      </c>
      <c r="P392" s="24">
        <f>'Fiscal Forecasts'!P$337</f>
        <v>0.60899999999999999</v>
      </c>
      <c r="Q392" s="24">
        <f>'Fiscal Forecasts'!Q$337</f>
        <v>0.622</v>
      </c>
      <c r="R392" s="24">
        <f>'Fiscal Forecasts'!R$337</f>
        <v>0.629</v>
      </c>
      <c r="S392" s="24">
        <f>'Fiscal Forecasts'!S$337</f>
        <v>0.63500000000000001</v>
      </c>
      <c r="T392" s="26">
        <f>Tracks!T$22</f>
        <v>0.66</v>
      </c>
      <c r="U392" s="26">
        <f>Tracks!U$22</f>
        <v>0.68100000000000005</v>
      </c>
      <c r="V392" s="26">
        <f>Tracks!V$22</f>
        <v>0.69300000000000006</v>
      </c>
      <c r="W392" s="26">
        <f>Tracks!W$22</f>
        <v>0.70800000000000007</v>
      </c>
      <c r="X392" s="26">
        <f>Tracks!X$22</f>
        <v>0.72500000000000009</v>
      </c>
      <c r="Y392" s="26">
        <f>Tracks!Y$22</f>
        <v>0.7410000000000001</v>
      </c>
      <c r="Z392" s="26">
        <f>Tracks!Z$22</f>
        <v>0.75700000000000012</v>
      </c>
      <c r="AA392" s="26">
        <f>Tracks!AA$22</f>
        <v>0.77800000000000014</v>
      </c>
      <c r="AB392" s="26">
        <f>Tracks!AB$22</f>
        <v>0.79700000000000015</v>
      </c>
      <c r="AC392" s="26">
        <f>Tracks!AC$22</f>
        <v>0.81900000000000017</v>
      </c>
      <c r="AD392" s="26"/>
      <c r="AE392" s="26"/>
    </row>
    <row r="393" spans="1:31" x14ac:dyDescent="0.2">
      <c r="A393" s="3" t="s">
        <v>519</v>
      </c>
      <c r="B393" s="4" t="str">
        <f t="shared" si="218"/>
        <v>From Fiscal Forecasts</v>
      </c>
      <c r="F393" s="21">
        <f>'Fiscal Forecasts'!F$338</f>
        <v>-0.151</v>
      </c>
      <c r="G393" s="21">
        <f>'Fiscal Forecasts'!G$338</f>
        <v>0.23100000000000001</v>
      </c>
      <c r="H393" s="21">
        <f>'Fiscal Forecasts'!H$338</f>
        <v>-0.77900000000000003</v>
      </c>
      <c r="I393" s="21">
        <f>'Fiscal Forecasts'!I$338</f>
        <v>-0.28000000000000003</v>
      </c>
      <c r="J393" s="21">
        <f>'Fiscal Forecasts'!J$338</f>
        <v>0.125</v>
      </c>
      <c r="K393" s="21">
        <f>'Fiscal Forecasts'!K$338</f>
        <v>0.28599999999999998</v>
      </c>
      <c r="L393" s="21">
        <f>'Fiscal Forecasts'!L$338</f>
        <v>-0.48399999999999999</v>
      </c>
      <c r="M393" s="21">
        <f>'Fiscal Forecasts'!M$338</f>
        <v>-1.2E-2</v>
      </c>
      <c r="N393" s="21">
        <f>'Fiscal Forecasts'!N$338</f>
        <v>-0.26900000000000002</v>
      </c>
      <c r="O393" s="24">
        <f>'Fiscal Forecasts'!O$338</f>
        <v>-0.1</v>
      </c>
      <c r="P393" s="24">
        <f>'Fiscal Forecasts'!P$338</f>
        <v>-0.1</v>
      </c>
      <c r="Q393" s="24">
        <f>'Fiscal Forecasts'!Q$338</f>
        <v>-0.1</v>
      </c>
      <c r="R393" s="24">
        <f>'Fiscal Forecasts'!R$338</f>
        <v>-0.1</v>
      </c>
      <c r="S393" s="24">
        <f>'Fiscal Forecasts'!S$338</f>
        <v>-0.1</v>
      </c>
      <c r="T393" s="26">
        <f ca="1">IF(T$4=OFFSET(Choices!$B$10,0,$C$1),0,S$393)</f>
        <v>0</v>
      </c>
      <c r="U393" s="26">
        <f ca="1">IF(U$4=OFFSET(Choices!$B$10,0,$C$1),0,T$393)</f>
        <v>0</v>
      </c>
      <c r="V393" s="26">
        <f ca="1">IF(V$4=OFFSET(Choices!$B$10,0,$C$1),0,U$393)</f>
        <v>0</v>
      </c>
      <c r="W393" s="26">
        <f ca="1">IF(W$4=OFFSET(Choices!$B$10,0,$C$1),0,V$393)</f>
        <v>0</v>
      </c>
      <c r="X393" s="26">
        <f ca="1">IF(X$4=OFFSET(Choices!$B$10,0,$C$1),0,W$393)</f>
        <v>0</v>
      </c>
      <c r="Y393" s="26">
        <f ca="1">IF(Y$4=OFFSET(Choices!$B$10,0,$C$1),0,X$393)</f>
        <v>0</v>
      </c>
      <c r="Z393" s="26">
        <f ca="1">IF(Z$4=OFFSET(Choices!$B$10,0,$C$1),0,Y$393)</f>
        <v>0</v>
      </c>
      <c r="AA393" s="26">
        <f ca="1">IF(AA$4=OFFSET(Choices!$B$10,0,$C$1),0,Z$393)</f>
        <v>0</v>
      </c>
      <c r="AB393" s="26">
        <f ca="1">IF(AB$4=OFFSET(Choices!$B$10,0,$C$1),0,AA$393)</f>
        <v>0</v>
      </c>
      <c r="AC393" s="26">
        <f ca="1">IF(AC$4=OFFSET(Choices!$B$10,0,$C$1),0,AB$393)</f>
        <v>0</v>
      </c>
      <c r="AD393" s="26"/>
      <c r="AE393" s="26"/>
    </row>
    <row r="394" spans="1:31" x14ac:dyDescent="0.2">
      <c r="A394" s="3" t="s">
        <v>135</v>
      </c>
      <c r="B394" s="4" t="str">
        <f t="shared" si="218"/>
        <v>From Fiscal Forecasts</v>
      </c>
      <c r="F394" s="21">
        <f>'Fiscal Forecasts'!F$339</f>
        <v>0.1</v>
      </c>
      <c r="G394" s="21">
        <f>'Fiscal Forecasts'!G$339</f>
        <v>7.0000000000000001E-3</v>
      </c>
      <c r="H394" s="21">
        <f>'Fiscal Forecasts'!H$339</f>
        <v>1.7999999999999999E-2</v>
      </c>
      <c r="I394" s="21">
        <f>'Fiscal Forecasts'!I$339</f>
        <v>1.0999999999999999E-2</v>
      </c>
      <c r="J394" s="21">
        <f>'Fiscal Forecasts'!J$339</f>
        <v>1.2E-2</v>
      </c>
      <c r="K394" s="21">
        <f>'Fiscal Forecasts'!K$339</f>
        <v>1.0999999999999999E-2</v>
      </c>
      <c r="L394" s="21">
        <f>'Fiscal Forecasts'!L$339</f>
        <v>0</v>
      </c>
      <c r="M394" s="21">
        <f>'Fiscal Forecasts'!M$339</f>
        <v>1.0999999999999999E-2</v>
      </c>
      <c r="N394" s="21">
        <f>'Fiscal Forecasts'!N$339</f>
        <v>1.0999999999999999E-2</v>
      </c>
      <c r="O394" s="24">
        <f>'Fiscal Forecasts'!O$339</f>
        <v>1.0999999999999999E-2</v>
      </c>
      <c r="P394" s="24">
        <f>'Fiscal Forecasts'!P$339</f>
        <v>1.0999999999999999E-2</v>
      </c>
      <c r="Q394" s="24">
        <f>'Fiscal Forecasts'!Q$339</f>
        <v>1.0999999999999999E-2</v>
      </c>
      <c r="R394" s="24">
        <f>'Fiscal Forecasts'!R$339</f>
        <v>0.01</v>
      </c>
      <c r="S394" s="24">
        <f>'Fiscal Forecasts'!S$339</f>
        <v>0.01</v>
      </c>
      <c r="T394" s="26">
        <f ca="1">IF(T$4=OFFSET(Choices!$B$10,0,$C$1),0,S$394)</f>
        <v>0</v>
      </c>
      <c r="U394" s="26">
        <f ca="1">IF(U$4=OFFSET(Choices!$B$10,0,$C$1),0,T$394)</f>
        <v>0</v>
      </c>
      <c r="V394" s="26">
        <f ca="1">IF(V$4=OFFSET(Choices!$B$10,0,$C$1),0,U$394)</f>
        <v>0</v>
      </c>
      <c r="W394" s="26">
        <f ca="1">IF(W$4=OFFSET(Choices!$B$10,0,$C$1),0,V$394)</f>
        <v>0</v>
      </c>
      <c r="X394" s="26">
        <f ca="1">IF(X$4=OFFSET(Choices!$B$10,0,$C$1),0,W$394)</f>
        <v>0</v>
      </c>
      <c r="Y394" s="26">
        <f ca="1">IF(Y$4=OFFSET(Choices!$B$10,0,$C$1),0,X$394)</f>
        <v>0</v>
      </c>
      <c r="Z394" s="26">
        <f ca="1">IF(Z$4=OFFSET(Choices!$B$10,0,$C$1),0,Y$394)</f>
        <v>0</v>
      </c>
      <c r="AA394" s="26">
        <f ca="1">IF(AA$4=OFFSET(Choices!$B$10,0,$C$1),0,Z$394)</f>
        <v>0</v>
      </c>
      <c r="AB394" s="26">
        <f ca="1">IF(AB$4=OFFSET(Choices!$B$10,0,$C$1),0,AA$394)</f>
        <v>0</v>
      </c>
      <c r="AC394" s="26">
        <f ca="1">IF(AC$4=OFFSET(Choices!$B$10,0,$C$1),0,AB$394)</f>
        <v>0</v>
      </c>
      <c r="AD394" s="26"/>
      <c r="AE394" s="26"/>
    </row>
    <row r="395" spans="1:31" x14ac:dyDescent="0.2">
      <c r="A395" s="31" t="s">
        <v>520</v>
      </c>
      <c r="E395" s="68">
        <f>'Fiscal Forecasts'!$E$340</f>
        <v>5.569</v>
      </c>
      <c r="F395" s="56">
        <f>SUM(E$395,F$389:F$394)</f>
        <v>6.0110000000000001</v>
      </c>
      <c r="G395" s="56">
        <f t="shared" ref="G395:N395" si="219">SUM(F$395,G$389:G$394)</f>
        <v>6.7409999999999997</v>
      </c>
      <c r="H395" s="56">
        <f t="shared" si="219"/>
        <v>6.552999999999999</v>
      </c>
      <c r="I395" s="56">
        <f t="shared" si="219"/>
        <v>6.79</v>
      </c>
      <c r="J395" s="56">
        <f t="shared" si="219"/>
        <v>7.4599999999999982</v>
      </c>
      <c r="K395" s="56">
        <f t="shared" si="219"/>
        <v>8.2909999999999968</v>
      </c>
      <c r="L395" s="56">
        <f t="shared" si="219"/>
        <v>8.2879999999999967</v>
      </c>
      <c r="M395" s="56">
        <f t="shared" si="219"/>
        <v>8.7159999999999958</v>
      </c>
      <c r="N395" s="56">
        <f t="shared" si="219"/>
        <v>8.8639999999999937</v>
      </c>
      <c r="O395" s="57">
        <f t="shared" ref="O395:AC395" si="220">SUM(N$395,O$389:O$394)</f>
        <v>9.117999999999995</v>
      </c>
      <c r="P395" s="57">
        <f t="shared" si="220"/>
        <v>9.3329999999999931</v>
      </c>
      <c r="Q395" s="57">
        <f t="shared" si="220"/>
        <v>9.5069999999999926</v>
      </c>
      <c r="R395" s="57">
        <f t="shared" si="220"/>
        <v>9.6069999999999922</v>
      </c>
      <c r="S395" s="57">
        <f t="shared" si="220"/>
        <v>9.6829999999999927</v>
      </c>
      <c r="T395" s="58">
        <f t="shared" ca="1" si="220"/>
        <v>9.8749999999999929</v>
      </c>
      <c r="U395" s="58">
        <f t="shared" ca="1" si="220"/>
        <v>10.064999999999994</v>
      </c>
      <c r="V395" s="58">
        <f t="shared" ca="1" si="220"/>
        <v>10.250999999999992</v>
      </c>
      <c r="W395" s="58">
        <f t="shared" ca="1" si="220"/>
        <v>10.443999999999992</v>
      </c>
      <c r="X395" s="58">
        <f t="shared" ca="1" si="220"/>
        <v>10.637999999999993</v>
      </c>
      <c r="Y395" s="58">
        <f t="shared" ca="1" si="220"/>
        <v>10.839999999999993</v>
      </c>
      <c r="Z395" s="58">
        <f t="shared" ca="1" si="220"/>
        <v>11.053999999999993</v>
      </c>
      <c r="AA395" s="58">
        <f t="shared" ca="1" si="220"/>
        <v>11.278999999999995</v>
      </c>
      <c r="AB395" s="58">
        <f t="shared" ca="1" si="220"/>
        <v>11.512999999999996</v>
      </c>
      <c r="AC395" s="58">
        <f t="shared" ca="1" si="220"/>
        <v>11.754999999999995</v>
      </c>
      <c r="AD395" s="26"/>
      <c r="AE395" s="26"/>
    </row>
    <row r="396" spans="1:31" x14ac:dyDescent="0.2">
      <c r="AD396" s="26"/>
      <c r="AE396" s="26"/>
    </row>
    <row r="397" spans="1:31" x14ac:dyDescent="0.2">
      <c r="A397" s="31" t="s">
        <v>771</v>
      </c>
      <c r="B397" s="4" t="str">
        <f>$B$46</f>
        <v>From Fiscal Forecasts</v>
      </c>
      <c r="F397" s="23">
        <f>ROUND('Fiscal Forecasts'!F$192*F$398/SUM(F$398,F$401),3)</f>
        <v>0.45900000000000002</v>
      </c>
      <c r="G397" s="23">
        <f>ROUND('Fiscal Forecasts'!G$192*G$398/SUM(G$398,G$401),3)</f>
        <v>0.504</v>
      </c>
      <c r="H397" s="23">
        <f>ROUND('Fiscal Forecasts'!H$192*H$398/SUM(H$398,H$401),3)</f>
        <v>0.57099999999999995</v>
      </c>
      <c r="I397" s="23">
        <f>ROUND('Fiscal Forecasts'!I$192*I$398/SUM(I$398,I$401),3)</f>
        <v>0.60099999999999998</v>
      </c>
      <c r="J397" s="23">
        <f>ROUND('Fiscal Forecasts'!J$192*J$398/SUM(J$398,J$401),3)</f>
        <v>0.66900000000000004</v>
      </c>
      <c r="K397" s="23">
        <f>ROUND('Fiscal Forecasts'!K$192*K$398/SUM(K$398,K$401),3)</f>
        <v>0.59799999999999998</v>
      </c>
      <c r="L397" s="23">
        <f>ROUND('Fiscal Forecasts'!L$192*L$398/SUM(L$398,L$401),3)</f>
        <v>0.53300000000000003</v>
      </c>
      <c r="M397" s="23">
        <f>ROUND('Fiscal Forecasts'!M$192*M$398/SUM(M$398,M$401),3)</f>
        <v>0.497</v>
      </c>
      <c r="N397" s="23">
        <f>ROUND('Fiscal Forecasts'!N$192*N$398/SUM(N$398,N$401),3)</f>
        <v>0.45500000000000002</v>
      </c>
      <c r="O397" s="25">
        <f>ROUND('Fiscal Forecasts'!O$192*O$398/SUM(O$398,O$401),3)</f>
        <v>0.48599999999999999</v>
      </c>
      <c r="P397" s="25">
        <f>ROUND('Fiscal Forecasts'!P$192*P$398/SUM(P$398,P$401),3)</f>
        <v>0.44400000000000001</v>
      </c>
      <c r="Q397" s="25">
        <f>ROUND('Fiscal Forecasts'!Q$192*Q$398/SUM(Q$398,Q$401),3)</f>
        <v>0.44900000000000001</v>
      </c>
      <c r="R397" s="25">
        <f>ROUND('Fiscal Forecasts'!R$192*R$398/SUM(R$398,R$401),3)</f>
        <v>0.44600000000000001</v>
      </c>
      <c r="S397" s="25">
        <f>ROUND('Fiscal Forecasts'!S$192*S$398/SUM(S$398,S$401),3)</f>
        <v>0.44400000000000001</v>
      </c>
      <c r="T397" s="11">
        <f ca="1">(S$397/S$11+IF(T$1&gt;0,T$1*IF(T$4=OFFSET(Choices!$B$10,0,$C$1),SUMPRODUCT(OFFSET(S$397,0,0,1,-OFFSET(Choices!$B$59,0,$C$1)),OFFSET(S$13,0,0,1,-OFFSET(Choices!$B$59,0,$C$1)))/OFFSET(Choices!$B$59,0,$C$1)-S$397/S$11,(S$397/S$11-R$397/R$11)/S$1),0))*T$11</f>
        <v>0.47142287391713966</v>
      </c>
      <c r="U397" s="11">
        <f ca="1">(T$397/T$11+IF(U$1&gt;0,U$1*IF(U$4=OFFSET(Choices!$B$10,0,$C$1),SUMPRODUCT(OFFSET(T$397,0,0,1,-OFFSET(Choices!$B$59,0,$C$1)),OFFSET(T$13,0,0,1,-OFFSET(Choices!$B$59,0,$C$1)))/OFFSET(Choices!$B$59,0,$C$1)-T$397/T$11,(T$397/T$11-S$397/S$11)/T$1),0))*U$11</f>
        <v>0.49875745971849028</v>
      </c>
      <c r="V397" s="11">
        <f ca="1">(U$397/U$11+IF(V$1&gt;0,V$1*IF(V$4=OFFSET(Choices!$B$10,0,$C$1),SUMPRODUCT(OFFSET(U$397,0,0,1,-OFFSET(Choices!$B$59,0,$C$1)),OFFSET(U$13,0,0,1,-OFFSET(Choices!$B$59,0,$C$1)))/OFFSET(Choices!$B$59,0,$C$1)-U$397/U$11,(U$397/U$11-T$397/T$11)/U$1),0))*V$11</f>
        <v>0.52619067939446174</v>
      </c>
      <c r="W397" s="11">
        <f ca="1">(V$397/V$11+IF(W$1&gt;0,W$1*IF(W$4=OFFSET(Choices!$B$10,0,$C$1),SUMPRODUCT(OFFSET(V$397,0,0,1,-OFFSET(Choices!$B$59,0,$C$1)),OFFSET(V$13,0,0,1,-OFFSET(Choices!$B$59,0,$C$1)))/OFFSET(Choices!$B$59,0,$C$1)-V$397/V$11,(V$397/V$11-U$397/U$11)/V$1),0))*W$11</f>
        <v>0.55314948094109362</v>
      </c>
      <c r="X397" s="11">
        <f ca="1">(W$397/W$11+IF(X$1&gt;0,X$1*IF(X$4=OFFSET(Choices!$B$10,0,$C$1),SUMPRODUCT(OFFSET(W$397,0,0,1,-OFFSET(Choices!$B$59,0,$C$1)),OFFSET(W$13,0,0,1,-OFFSET(Choices!$B$59,0,$C$1)))/OFFSET(Choices!$B$59,0,$C$1)-W$397/W$11,(W$397/W$11-V$397/V$11)/W$1),0))*X$11</f>
        <v>0.57955309708538572</v>
      </c>
      <c r="Y397" s="11">
        <f ca="1">(X$397/X$11+IF(Y$1&gt;0,Y$1*IF(Y$4=OFFSET(Choices!$B$10,0,$C$1),SUMPRODUCT(OFFSET(X$397,0,0,1,-OFFSET(Choices!$B$59,0,$C$1)),OFFSET(X$13,0,0,1,-OFFSET(Choices!$B$59,0,$C$1)))/OFFSET(Choices!$B$59,0,$C$1)-X$397/X$11,(X$397/X$11-W$397/W$11)/X$1),0))*Y$11</f>
        <v>0.60499742323821726</v>
      </c>
      <c r="Z397" s="11">
        <f ca="1">(Y$397/Y$11+IF(Z$1&gt;0,Z$1*IF(Z$4=OFFSET(Choices!$B$10,0,$C$1),SUMPRODUCT(OFFSET(Y$397,0,0,1,-OFFSET(Choices!$B$59,0,$C$1)),OFFSET(Y$13,0,0,1,-OFFSET(Choices!$B$59,0,$C$1)))/OFFSET(Choices!$B$59,0,$C$1)-Y$397/Y$11,(Y$397/Y$11-X$397/X$11)/Y$1),0))*Z$11</f>
        <v>0.63118682301439333</v>
      </c>
      <c r="AA397" s="11">
        <f ca="1">(Z$397/Z$11+IF(AA$1&gt;0,AA$1*IF(AA$4=OFFSET(Choices!$B$10,0,$C$1),SUMPRODUCT(OFFSET(Z$397,0,0,1,-OFFSET(Choices!$B$59,0,$C$1)),OFFSET(Z$13,0,0,1,-OFFSET(Choices!$B$59,0,$C$1)))/OFFSET(Choices!$B$59,0,$C$1)-Z$397/Z$11,(Z$397/Z$11-Y$397/Y$11)/Z$1),0))*AA$11</f>
        <v>0.65813972207885174</v>
      </c>
      <c r="AB397" s="11">
        <f ca="1">(AA$397/AA$11+IF(AB$1&gt;0,AB$1*IF(AB$4=OFFSET(Choices!$B$10,0,$C$1),SUMPRODUCT(OFFSET(AA$397,0,0,1,-OFFSET(Choices!$B$59,0,$C$1)),OFFSET(AA$13,0,0,1,-OFFSET(Choices!$B$59,0,$C$1)))/OFFSET(Choices!$B$59,0,$C$1)-AA$397/AA$11,(AA$397/AA$11-Z$397/Z$11)/AA$1),0))*AB$11</f>
        <v>0.68575204106576904</v>
      </c>
      <c r="AC397" s="11">
        <f ca="1">(AB$397/AB$11+IF(AC$1&gt;0,AC$1*IF(AC$4=OFFSET(Choices!$B$10,0,$C$1),SUMPRODUCT(OFFSET(AB$397,0,0,1,-OFFSET(Choices!$B$59,0,$C$1)),OFFSET(AB$13,0,0,1,-OFFSET(Choices!$B$59,0,$C$1)))/OFFSET(Choices!$B$59,0,$C$1)-AB$397/AB$11,(AB$397/AB$11-AA$397/AA$11)/AB$1),0))*AC$11</f>
        <v>0.7141676874500732</v>
      </c>
      <c r="AD397" s="26"/>
      <c r="AE397" s="26"/>
    </row>
    <row r="398" spans="1:31" x14ac:dyDescent="0.2">
      <c r="A398" s="31" t="s">
        <v>770</v>
      </c>
      <c r="B398" s="4" t="str">
        <f>$B$46</f>
        <v>From Fiscal Forecasts</v>
      </c>
      <c r="F398" s="23">
        <f>'Fiscal Forecasts'!F$118</f>
        <v>0.82599999999999996</v>
      </c>
      <c r="G398" s="23">
        <f>'Fiscal Forecasts'!G$118</f>
        <v>0.96399999999999997</v>
      </c>
      <c r="H398" s="23">
        <f>'Fiscal Forecasts'!H$118</f>
        <v>1.0820000000000001</v>
      </c>
      <c r="I398" s="23">
        <f>'Fiscal Forecasts'!I$118</f>
        <v>1.1599999999999999</v>
      </c>
      <c r="J398" s="23">
        <f>'Fiscal Forecasts'!J$118</f>
        <v>1.3080000000000001</v>
      </c>
      <c r="K398" s="23">
        <f>'Fiscal Forecasts'!K$118</f>
        <v>1.234</v>
      </c>
      <c r="L398" s="23">
        <f>'Fiscal Forecasts'!L$118</f>
        <v>1.1399999999999999</v>
      </c>
      <c r="M398" s="23">
        <f>'Fiscal Forecasts'!M$118</f>
        <v>1.099</v>
      </c>
      <c r="N398" s="23">
        <f>'Fiscal Forecasts'!N$118</f>
        <v>0.995</v>
      </c>
      <c r="O398" s="25">
        <f>'Fiscal Forecasts'!O$118</f>
        <v>0.96699999999999997</v>
      </c>
      <c r="P398" s="25">
        <f>'Fiscal Forecasts'!P$118</f>
        <v>0.86499999999999999</v>
      </c>
      <c r="Q398" s="25">
        <f>'Fiscal Forecasts'!Q$118</f>
        <v>0.85699999999999998</v>
      </c>
      <c r="R398" s="25">
        <f>'Fiscal Forecasts'!R$118</f>
        <v>0.84799999999999998</v>
      </c>
      <c r="S398" s="25">
        <f>'Fiscal Forecasts'!S$118</f>
        <v>0.84</v>
      </c>
      <c r="T398" s="11">
        <f ca="1">((S$398-S$397)/S$11+IF(T$1&gt;0,T$1*IF(T$4=OFFSET(Choices!$B$10,0,$C$1),(SUMPRODUCT(OFFSET(S$398,0,0,1,-OFFSET(Choices!$B$59,0,$C$1)),OFFSET(S$13,0,0,1,-OFFSET(Choices!$B$59,0,$C$1)))-SUMPRODUCT(OFFSET(S$397,0,0,1,-OFFSET(Choices!$B$59,0,$C$1)),OFFSET(S$13,0,0,1,-OFFSET(Choices!$B$59,0,$C$1))))/OFFSET(Choices!$B$59,0,$C$1)-(S$398-S$397)/S$11,((S$398-S$397)/S$11-(R$398-R$397)/R$11)/S$1),0))*T$11 +T$397</f>
        <v>0.8933459307728604</v>
      </c>
      <c r="U398" s="11">
        <f ca="1">((T$398-T$397)/T$11+IF(U$1&gt;0,U$1*IF(U$4=OFFSET(Choices!$B$10,0,$C$1),(SUMPRODUCT(OFFSET(T$398,0,0,1,-OFFSET(Choices!$B$59,0,$C$1)),OFFSET(T$13,0,0,1,-OFFSET(Choices!$B$59,0,$C$1)))-SUMPRODUCT(OFFSET(T$397,0,0,1,-OFFSET(Choices!$B$59,0,$C$1)),OFFSET(T$13,0,0,1,-OFFSET(Choices!$B$59,0,$C$1))))/OFFSET(Choices!$B$59,0,$C$1)-(T$398-T$397)/T$11,((T$398-T$397)/T$11-(S$398-S$397)/S$11)/T$1),0))*U$11 +U$397</f>
        <v>0.94634875162669996</v>
      </c>
      <c r="V398" s="11">
        <f ca="1">((U$398-U$397)/U$11+IF(V$1&gt;0,V$1*IF(V$4=OFFSET(Choices!$B$10,0,$C$1),(SUMPRODUCT(OFFSET(U$398,0,0,1,-OFFSET(Choices!$B$59,0,$C$1)),OFFSET(U$13,0,0,1,-OFFSET(Choices!$B$59,0,$C$1)))-SUMPRODUCT(OFFSET(U$397,0,0,1,-OFFSET(Choices!$B$59,0,$C$1)),OFFSET(U$13,0,0,1,-OFFSET(Choices!$B$59,0,$C$1))))/OFFSET(Choices!$B$59,0,$C$1)-(U$398-U$397)/U$11,((U$398-U$397)/U$11-(T$398-T$397)/T$11)/U$1),0))*V$11 +V$397</f>
        <v>0.99933210115536242</v>
      </c>
      <c r="W398" s="11">
        <f ca="1">((V$398-V$397)/V$11+IF(W$1&gt;0,W$1*IF(W$4=OFFSET(Choices!$B$10,0,$C$1),(SUMPRODUCT(OFFSET(V$398,0,0,1,-OFFSET(Choices!$B$59,0,$C$1)),OFFSET(V$13,0,0,1,-OFFSET(Choices!$B$59,0,$C$1)))-SUMPRODUCT(OFFSET(V$397,0,0,1,-OFFSET(Choices!$B$59,0,$C$1)),OFFSET(V$13,0,0,1,-OFFSET(Choices!$B$59,0,$C$1))))/OFFSET(Choices!$B$59,0,$C$1)-(V$398-V$397)/V$11,((V$398-V$397)/V$11-(U$398-U$397)/U$11)/V$1),0))*W$11 +W$397</f>
        <v>1.0511740365747029</v>
      </c>
      <c r="X398" s="11">
        <f ca="1">((W$398-W$397)/W$11+IF(X$1&gt;0,X$1*IF(X$4=OFFSET(Choices!$B$10,0,$C$1),(SUMPRODUCT(OFFSET(W$398,0,0,1,-OFFSET(Choices!$B$59,0,$C$1)),OFFSET(W$13,0,0,1,-OFFSET(Choices!$B$59,0,$C$1)))-SUMPRODUCT(OFFSET(W$397,0,0,1,-OFFSET(Choices!$B$59,0,$C$1)),OFFSET(W$13,0,0,1,-OFFSET(Choices!$B$59,0,$C$1))))/OFFSET(Choices!$B$59,0,$C$1)-(W$398-W$397)/W$11,((W$398-W$397)/W$11-(V$398-V$397)/V$11)/W$1),0))*X$11 +X$397</f>
        <v>1.1016832379836745</v>
      </c>
      <c r="Y398" s="11">
        <f ca="1">((X$398-X$397)/X$11+IF(Y$1&gt;0,Y$1*IF(Y$4=OFFSET(Choices!$B$10,0,$C$1),(SUMPRODUCT(OFFSET(X$398,0,0,1,-OFFSET(Choices!$B$59,0,$C$1)),OFFSET(X$13,0,0,1,-OFFSET(Choices!$B$59,0,$C$1)))-SUMPRODUCT(OFFSET(X$397,0,0,1,-OFFSET(Choices!$B$59,0,$C$1)),OFFSET(X$13,0,0,1,-OFFSET(Choices!$B$59,0,$C$1))))/OFFSET(Choices!$B$59,0,$C$1)-(X$398-X$397)/X$11,((X$398-X$397)/X$11-(W$398-W$397)/W$11)/X$1),0))*Y$11 +Y$397</f>
        <v>1.1500508297804175</v>
      </c>
      <c r="Z398" s="11">
        <f ca="1">((Y$398-Y$397)/Y$11+IF(Z$1&gt;0,Z$1*IF(Z$4=OFFSET(Choices!$B$10,0,$C$1),(SUMPRODUCT(OFFSET(Y$398,0,0,1,-OFFSET(Choices!$B$59,0,$C$1)),OFFSET(Y$13,0,0,1,-OFFSET(Choices!$B$59,0,$C$1)))-SUMPRODUCT(OFFSET(Y$397,0,0,1,-OFFSET(Choices!$B$59,0,$C$1)),OFFSET(Y$13,0,0,1,-OFFSET(Choices!$B$59,0,$C$1))))/OFFSET(Choices!$B$59,0,$C$1)-(Y$398-Y$397)/Y$11,((Y$398-Y$397)/Y$11-(X$398-X$397)/X$11)/Y$1),0))*Z$11 +Z$397</f>
        <v>1.1998347458553509</v>
      </c>
      <c r="AA398" s="11">
        <f ca="1">((Z$398-Z$397)/Z$11+IF(AA$1&gt;0,AA$1*IF(AA$4=OFFSET(Choices!$B$10,0,$C$1),(SUMPRODUCT(OFFSET(Z$398,0,0,1,-OFFSET(Choices!$B$59,0,$C$1)),OFFSET(Z$13,0,0,1,-OFFSET(Choices!$B$59,0,$C$1)))-SUMPRODUCT(OFFSET(Z$397,0,0,1,-OFFSET(Choices!$B$59,0,$C$1)),OFFSET(Z$13,0,0,1,-OFFSET(Choices!$B$59,0,$C$1))))/OFFSET(Choices!$B$59,0,$C$1)-(Z$398-Z$397)/Z$11,((Z$398-Z$397)/Z$11-(Y$398-Y$397)/Y$11)/Z$1),0))*AA$11 +AA$397</f>
        <v>1.2510700118969109</v>
      </c>
      <c r="AB398" s="11">
        <f ca="1">((AA$398-AA$397)/AA$11+IF(AB$1&gt;0,AB$1*IF(AB$4=OFFSET(Choices!$B$10,0,$C$1),(SUMPRODUCT(OFFSET(AA$398,0,0,1,-OFFSET(Choices!$B$59,0,$C$1)),OFFSET(AA$13,0,0,1,-OFFSET(Choices!$B$59,0,$C$1)))-SUMPRODUCT(OFFSET(AA$397,0,0,1,-OFFSET(Choices!$B$59,0,$C$1)),OFFSET(AA$13,0,0,1,-OFFSET(Choices!$B$59,0,$C$1))))/OFFSET(Choices!$B$59,0,$C$1)-(AA$398-AA$397)/AA$11,((AA$398-AA$397)/AA$11-(Z$398-Z$397)/Z$11)/AA$1),0))*AB$11 +AB$397</f>
        <v>1.3035587815070286</v>
      </c>
      <c r="AC398" s="11">
        <f ca="1">((AB$398-AB$397)/AB$11+IF(AC$1&gt;0,AC$1*IF(AC$4=OFFSET(Choices!$B$10,0,$C$1),(SUMPRODUCT(OFFSET(AB$398,0,0,1,-OFFSET(Choices!$B$59,0,$C$1)),OFFSET(AB$13,0,0,1,-OFFSET(Choices!$B$59,0,$C$1)))-SUMPRODUCT(OFFSET(AB$397,0,0,1,-OFFSET(Choices!$B$59,0,$C$1)),OFFSET(AB$13,0,0,1,-OFFSET(Choices!$B$59,0,$C$1))))/OFFSET(Choices!$B$59,0,$C$1)-(AB$398-AB$397)/AB$11,((AB$398-AB$397)/AB$11-(AA$398-AA$397)/AA$11)/AB$1),0))*AC$11 +AC$397</f>
        <v>1.3575746110755267</v>
      </c>
      <c r="AD398" s="26"/>
      <c r="AE398" s="26"/>
    </row>
    <row r="399" spans="1:31" x14ac:dyDescent="0.2">
      <c r="A399" s="31"/>
      <c r="B399" s="4"/>
      <c r="F399" s="23"/>
      <c r="G399" s="23"/>
      <c r="H399" s="23"/>
      <c r="I399" s="23"/>
      <c r="J399" s="23"/>
      <c r="K399" s="23"/>
      <c r="L399" s="23"/>
      <c r="M399" s="23"/>
      <c r="N399" s="23"/>
      <c r="O399" s="25"/>
      <c r="P399" s="25"/>
      <c r="Q399" s="25"/>
      <c r="R399" s="25"/>
      <c r="S399" s="11"/>
      <c r="T399" s="11"/>
      <c r="U399" s="11"/>
      <c r="V399" s="11"/>
      <c r="W399" s="11"/>
      <c r="X399" s="11"/>
      <c r="Y399" s="11"/>
      <c r="Z399" s="11"/>
      <c r="AA399" s="11"/>
      <c r="AB399" s="11"/>
      <c r="AC399" s="11"/>
      <c r="AD399" s="26"/>
      <c r="AE399" s="26"/>
    </row>
    <row r="400" spans="1:31" x14ac:dyDescent="0.2">
      <c r="A400" s="31" t="s">
        <v>772</v>
      </c>
      <c r="B400" s="4" t="str">
        <f>$B$46</f>
        <v>From Fiscal Forecasts</v>
      </c>
      <c r="F400" s="23">
        <f>'Fiscal Forecasts'!F$192-F$397</f>
        <v>0.84799999999999986</v>
      </c>
      <c r="G400" s="23">
        <f>'Fiscal Forecasts'!G$192-G$397</f>
        <v>0.87000000000000011</v>
      </c>
      <c r="H400" s="23">
        <f>'Fiscal Forecasts'!H$192-H$397</f>
        <v>0.85899999999999999</v>
      </c>
      <c r="I400" s="23">
        <f>'Fiscal Forecasts'!I$192-I$397</f>
        <v>0.86099999999999999</v>
      </c>
      <c r="J400" s="23">
        <f>'Fiscal Forecasts'!J$192-J$397</f>
        <v>1.022</v>
      </c>
      <c r="K400" s="23">
        <f>'Fiscal Forecasts'!K$192-K$397</f>
        <v>1.0330000000000004</v>
      </c>
      <c r="L400" s="23">
        <f>'Fiscal Forecasts'!L$192-L$397</f>
        <v>1.0720000000000001</v>
      </c>
      <c r="M400" s="23">
        <f>'Fiscal Forecasts'!M$192-M$397</f>
        <v>1.1360000000000001</v>
      </c>
      <c r="N400" s="23">
        <f>'Fiscal Forecasts'!N$192-N$397</f>
        <v>1.0919999999999999</v>
      </c>
      <c r="O400" s="25">
        <f>'Fiscal Forecasts'!O$192-O$397</f>
        <v>1.0469999999999999</v>
      </c>
      <c r="P400" s="25">
        <f>'Fiscal Forecasts'!P$192-P$397</f>
        <v>1.089</v>
      </c>
      <c r="Q400" s="25">
        <f>'Fiscal Forecasts'!Q$192-Q$397</f>
        <v>1.1299999999999999</v>
      </c>
      <c r="R400" s="25">
        <f>'Fiscal Forecasts'!R$192-R$397</f>
        <v>1.1660000000000001</v>
      </c>
      <c r="S400" s="25">
        <f>'Fiscal Forecasts'!S$192-S$397</f>
        <v>1.2010000000000001</v>
      </c>
      <c r="T400" s="11">
        <f ca="1">(S$400/S$11+IF(T$1&gt;0,T$1*IF(T$4=OFFSET(Choices!$B$10,0,$C$1),SUMPRODUCT(OFFSET(S$400,0,0,1,-OFFSET(Choices!$B$59,0,$C$1)),OFFSET(S$13,0,0,1,-OFFSET(Choices!$B$59,0,$C$1)))/OFFSET(Choices!$B$59,0,$C$1)-S$400/S$11,(S$400/S$11-R$400/R$11)/S$1),0))*T$11</f>
        <v>1.2595848880971114</v>
      </c>
      <c r="U400" s="11">
        <f ca="1">(T$400/T$11+IF(U$1&gt;0,U$1*IF(U$4=OFFSET(Choices!$B$10,0,$C$1),SUMPRODUCT(OFFSET(T$400,0,0,1,-OFFSET(Choices!$B$59,0,$C$1)),OFFSET(T$13,0,0,1,-OFFSET(Choices!$B$59,0,$C$1)))/OFFSET(Choices!$B$59,0,$C$1)-T$400/T$11,(T$400/T$11-S$400/S$11)/T$1),0))*U$11</f>
        <v>1.3198052864026943</v>
      </c>
      <c r="V400" s="11">
        <f ca="1">(U$400/U$11+IF(V$1&gt;0,V$1*IF(V$4=OFFSET(Choices!$B$10,0,$C$1),SUMPRODUCT(OFFSET(U$400,0,0,1,-OFFSET(Choices!$B$59,0,$C$1)),OFFSET(U$13,0,0,1,-OFFSET(Choices!$B$59,0,$C$1)))/OFFSET(Choices!$B$59,0,$C$1)-U$400/U$11,(U$400/U$11-T$400/T$11)/U$1),0))*V$11</f>
        <v>1.3824861301333788</v>
      </c>
      <c r="W400" s="11">
        <f ca="1">(V$400/V$11+IF(W$1&gt;0,W$1*IF(W$4=OFFSET(Choices!$B$10,0,$C$1),SUMPRODUCT(OFFSET(V$400,0,0,1,-OFFSET(Choices!$B$59,0,$C$1)),OFFSET(V$13,0,0,1,-OFFSET(Choices!$B$59,0,$C$1)))/OFFSET(Choices!$B$59,0,$C$1)-V$400/V$11,(V$400/V$11-U$400/U$11)/V$1),0))*W$11</f>
        <v>1.446479611542778</v>
      </c>
      <c r="X400" s="11">
        <f ca="1">(W$400/W$11+IF(X$1&gt;0,X$1*IF(X$4=OFFSET(Choices!$B$10,0,$C$1),SUMPRODUCT(OFFSET(W$400,0,0,1,-OFFSET(Choices!$B$59,0,$C$1)),OFFSET(W$13,0,0,1,-OFFSET(Choices!$B$59,0,$C$1)))/OFFSET(Choices!$B$59,0,$C$1)-W$400/W$11,(W$400/W$11-V$400/V$11)/W$1),0))*X$11</f>
        <v>1.511977265530599</v>
      </c>
      <c r="Y400" s="11">
        <f ca="1">(X$400/X$11+IF(Y$1&gt;0,Y$1*IF(Y$4=OFFSET(Choices!$B$10,0,$C$1),SUMPRODUCT(OFFSET(X$400,0,0,1,-OFFSET(Choices!$B$59,0,$C$1)),OFFSET(X$13,0,0,1,-OFFSET(Choices!$B$59,0,$C$1)))/OFFSET(Choices!$B$59,0,$C$1)-X$400/X$11,(X$400/X$11-W$400/W$11)/X$1),0))*Y$11</f>
        <v>1.5783581422324948</v>
      </c>
      <c r="Z400" s="11">
        <f ca="1">(Y$400/Y$11+IF(Z$1&gt;0,Z$1*IF(Z$4=OFFSET(Choices!$B$10,0,$C$1),SUMPRODUCT(OFFSET(Y$400,0,0,1,-OFFSET(Choices!$B$59,0,$C$1)),OFFSET(Y$13,0,0,1,-OFFSET(Choices!$B$59,0,$C$1)))/OFFSET(Choices!$B$59,0,$C$1)-Y$400/Y$11,(Y$400/Y$11-X$400/X$11)/Y$1),0))*Z$11</f>
        <v>1.6466828173288932</v>
      </c>
      <c r="AA400" s="11">
        <f ca="1">(Z$400/Z$11+IF(AA$1&gt;0,AA$1*IF(AA$4=OFFSET(Choices!$B$10,0,$C$1),SUMPRODUCT(OFFSET(Z$400,0,0,1,-OFFSET(Choices!$B$59,0,$C$1)),OFFSET(Z$13,0,0,1,-OFFSET(Choices!$B$59,0,$C$1)))/OFFSET(Choices!$B$59,0,$C$1)-Z$400/Z$11,(Z$400/Z$11-Y$400/Y$11)/Z$1),0))*AA$11</f>
        <v>1.7169993609390435</v>
      </c>
      <c r="AB400" s="11">
        <f ca="1">(AA$400/AA$11+IF(AB$1&gt;0,AB$1*IF(AB$4=OFFSET(Choices!$B$10,0,$C$1),SUMPRODUCT(OFFSET(AA$400,0,0,1,-OFFSET(Choices!$B$59,0,$C$1)),OFFSET(AA$13,0,0,1,-OFFSET(Choices!$B$59,0,$C$1)))/OFFSET(Choices!$B$59,0,$C$1)-AA$400/AA$11,(AA$400/AA$11-Z$400/Z$11)/AA$1),0))*AB$11</f>
        <v>1.7890362437833549</v>
      </c>
      <c r="AC400" s="11">
        <f ca="1">(AB$400/AB$11+IF(AC$1&gt;0,AC$1*IF(AC$4=OFFSET(Choices!$B$10,0,$C$1),SUMPRODUCT(OFFSET(AB$400,0,0,1,-OFFSET(Choices!$B$59,0,$C$1)),OFFSET(AB$13,0,0,1,-OFFSET(Choices!$B$59,0,$C$1)))/OFFSET(Choices!$B$59,0,$C$1)-AB$400/AB$11,(AB$400/AB$11-AA$400/AA$11)/AB$1),0))*AC$11</f>
        <v>1.8631689014026356</v>
      </c>
      <c r="AD400" s="26"/>
      <c r="AE400" s="26"/>
    </row>
    <row r="401" spans="1:31" x14ac:dyDescent="0.2">
      <c r="A401" s="31" t="s">
        <v>769</v>
      </c>
      <c r="B401" s="4" t="str">
        <f>$B$46</f>
        <v>From Fiscal Forecasts</v>
      </c>
      <c r="F401" s="23">
        <f>'Fiscal Forecasts'!F$119</f>
        <v>1.5269999999999999</v>
      </c>
      <c r="G401" s="23">
        <f>'Fiscal Forecasts'!G$119</f>
        <v>1.663</v>
      </c>
      <c r="H401" s="23">
        <f>'Fiscal Forecasts'!H$119</f>
        <v>1.63</v>
      </c>
      <c r="I401" s="23">
        <f>'Fiscal Forecasts'!I$119</f>
        <v>1.661</v>
      </c>
      <c r="J401" s="23">
        <f>'Fiscal Forecasts'!J$119</f>
        <v>1.996</v>
      </c>
      <c r="K401" s="23">
        <f>'Fiscal Forecasts'!K$119</f>
        <v>2.1339999999999999</v>
      </c>
      <c r="L401" s="23">
        <f>'Fiscal Forecasts'!L$119</f>
        <v>2.2949999999999999</v>
      </c>
      <c r="M401" s="23">
        <f>'Fiscal Forecasts'!M$119</f>
        <v>2.5099999999999998</v>
      </c>
      <c r="N401" s="23">
        <f>'Fiscal Forecasts'!N$119</f>
        <v>2.3889999999999998</v>
      </c>
      <c r="O401" s="25">
        <f>'Fiscal Forecasts'!O$119</f>
        <v>2.085</v>
      </c>
      <c r="P401" s="25">
        <f>'Fiscal Forecasts'!P$119</f>
        <v>2.12</v>
      </c>
      <c r="Q401" s="25">
        <f>'Fiscal Forecasts'!Q$119</f>
        <v>2.1549999999999998</v>
      </c>
      <c r="R401" s="25">
        <f>'Fiscal Forecasts'!R$119</f>
        <v>2.214</v>
      </c>
      <c r="S401" s="25">
        <f>'Fiscal Forecasts'!S$119</f>
        <v>2.2730000000000001</v>
      </c>
      <c r="T401" s="11">
        <f ca="1">((S$401-S$400)/S$11+IF(T$1&gt;0,T$1*IF(T$4=OFFSET(Choices!$B$10,0,$C$1),(SUMPRODUCT(OFFSET(S$401,0,0,1,-OFFSET(Choices!$B$59,0,$C$1)),OFFSET(S$13,0,0,1,-OFFSET(Choices!$B$59,0,$C$1)))-SUMPRODUCT(OFFSET(S$400,0,0,1,-OFFSET(Choices!$B$59,0,$C$1)),OFFSET(S$13,0,0,1,-OFFSET(Choices!$B$59,0,$C$1))))/OFFSET(Choices!$B$59,0,$C$1)-(S$401-S$400)/S$11,((S$401-S$400)/S$11-(R$401-R$400)/R$11)/S$1),0))*T$11 +T$400</f>
        <v>2.3868268157036403</v>
      </c>
      <c r="U401" s="11">
        <f ca="1">((T$401-T$400)/T$11+IF(U$1&gt;0,U$1*IF(U$4=OFFSET(Choices!$B$10,0,$C$1),(SUMPRODUCT(OFFSET(T$401,0,0,1,-OFFSET(Choices!$B$59,0,$C$1)),OFFSET(T$13,0,0,1,-OFFSET(Choices!$B$59,0,$C$1)))-SUMPRODUCT(OFFSET(T$400,0,0,1,-OFFSET(Choices!$B$59,0,$C$1)),OFFSET(T$13,0,0,1,-OFFSET(Choices!$B$59,0,$C$1))))/OFFSET(Choices!$B$59,0,$C$1)-(T$401-T$400)/T$11,((T$401-T$400)/T$11-(S$401-S$400)/S$11)/T$1),0))*U$11 +U$400</f>
        <v>2.5033944158412975</v>
      </c>
      <c r="V401" s="11">
        <f ca="1">((U$401-U$400)/U$11+IF(V$1&gt;0,V$1*IF(V$4=OFFSET(Choices!$B$10,0,$C$1),(SUMPRODUCT(OFFSET(U$401,0,0,1,-OFFSET(Choices!$B$59,0,$C$1)),OFFSET(U$13,0,0,1,-OFFSET(Choices!$B$59,0,$C$1)))-SUMPRODUCT(OFFSET(U$400,0,0,1,-OFFSET(Choices!$B$59,0,$C$1)),OFFSET(U$13,0,0,1,-OFFSET(Choices!$B$59,0,$C$1))))/OFFSET(Choices!$B$59,0,$C$1)-(U$401-U$400)/U$11,((U$401-U$400)/U$11-(T$401-T$400)/T$11)/U$1),0))*V$11 +V$400</f>
        <v>2.6242036586454063</v>
      </c>
      <c r="W401" s="11">
        <f ca="1">((V$401-V$400)/V$11+IF(W$1&gt;0,W$1*IF(W$4=OFFSET(Choices!$B$10,0,$C$1),(SUMPRODUCT(OFFSET(V$401,0,0,1,-OFFSET(Choices!$B$59,0,$C$1)),OFFSET(V$13,0,0,1,-OFFSET(Choices!$B$59,0,$C$1)))-SUMPRODUCT(OFFSET(V$400,0,0,1,-OFFSET(Choices!$B$59,0,$C$1)),OFFSET(V$13,0,0,1,-OFFSET(Choices!$B$59,0,$C$1))))/OFFSET(Choices!$B$59,0,$C$1)-(V$401-V$400)/V$11,((V$401-V$400)/V$11-(U$401-U$400)/U$11)/V$1),0))*W$11 +W$400</f>
        <v>2.7470061176471203</v>
      </c>
      <c r="X401" s="11">
        <f ca="1">((W$401-W$400)/W$11+IF(X$1&gt;0,X$1*IF(X$4=OFFSET(Choices!$B$10,0,$C$1),(SUMPRODUCT(OFFSET(W$401,0,0,1,-OFFSET(Choices!$B$59,0,$C$1)),OFFSET(W$13,0,0,1,-OFFSET(Choices!$B$59,0,$C$1)))-SUMPRODUCT(OFFSET(W$400,0,0,1,-OFFSET(Choices!$B$59,0,$C$1)),OFFSET(W$13,0,0,1,-OFFSET(Choices!$B$59,0,$C$1))))/OFFSET(Choices!$B$59,0,$C$1)-(W$401-W$400)/W$11,((W$401-W$400)/W$11-(V$401-V$400)/V$11)/W$1),0))*X$11 +X$400</f>
        <v>2.8720867290641272</v>
      </c>
      <c r="Y401" s="11">
        <f ca="1">((X$401-X$400)/X$11+IF(Y$1&gt;0,Y$1*IF(Y$4=OFFSET(Choices!$B$10,0,$C$1),(SUMPRODUCT(OFFSET(X$401,0,0,1,-OFFSET(Choices!$B$59,0,$C$1)),OFFSET(X$13,0,0,1,-OFFSET(Choices!$B$59,0,$C$1)))-SUMPRODUCT(OFFSET(X$400,0,0,1,-OFFSET(Choices!$B$59,0,$C$1)),OFFSET(X$13,0,0,1,-OFFSET(Choices!$B$59,0,$C$1))))/OFFSET(Choices!$B$59,0,$C$1)-(X$401-X$400)/X$11,((X$401-X$400)/X$11-(W$401-W$400)/W$11)/X$1),0))*Y$11 +Y$400</f>
        <v>2.9981809762367204</v>
      </c>
      <c r="Z401" s="11">
        <f ca="1">((Y$401-Y$400)/Y$11+IF(Z$1&gt;0,Z$1*IF(Z$4=OFFSET(Choices!$B$10,0,$C$1),(SUMPRODUCT(OFFSET(Y$401,0,0,1,-OFFSET(Choices!$B$59,0,$C$1)),OFFSET(Y$13,0,0,1,-OFFSET(Choices!$B$59,0,$C$1)))-SUMPRODUCT(OFFSET(Y$400,0,0,1,-OFFSET(Choices!$B$59,0,$C$1)),OFFSET(Y$13,0,0,1,-OFFSET(Choices!$B$59,0,$C$1))))/OFFSET(Choices!$B$59,0,$C$1)-(Y$401-Y$400)/Y$11,((Y$401-Y$400)/Y$11-(X$401-X$400)/X$11)/Y$1),0))*Z$11 +Z$400</f>
        <v>3.1279675789096908</v>
      </c>
      <c r="AA401" s="11">
        <f ca="1">((Z$401-Z$400)/Z$11+IF(AA$1&gt;0,AA$1*IF(AA$4=OFFSET(Choices!$B$10,0,$C$1),(SUMPRODUCT(OFFSET(Z$401,0,0,1,-OFFSET(Choices!$B$59,0,$C$1)),OFFSET(Z$13,0,0,1,-OFFSET(Choices!$B$59,0,$C$1)))-SUMPRODUCT(OFFSET(Z$400,0,0,1,-OFFSET(Choices!$B$59,0,$C$1)),OFFSET(Z$13,0,0,1,-OFFSET(Choices!$B$59,0,$C$1))))/OFFSET(Choices!$B$59,0,$C$1)-(Z$401-Z$400)/Z$11,((Z$401-Z$400)/Z$11-(Y$401-Y$400)/Y$11)/Z$1),0))*AA$11 +AA$400</f>
        <v>3.2615378490059808</v>
      </c>
      <c r="AB401" s="11">
        <f ca="1">((AA$401-AA$400)/AA$11+IF(AB$1&gt;0,AB$1*IF(AB$4=OFFSET(Choices!$B$10,0,$C$1),(SUMPRODUCT(OFFSET(AA$401,0,0,1,-OFFSET(Choices!$B$59,0,$C$1)),OFFSET(AA$13,0,0,1,-OFFSET(Choices!$B$59,0,$C$1)))-SUMPRODUCT(OFFSET(AA$400,0,0,1,-OFFSET(Choices!$B$59,0,$C$1)),OFFSET(AA$13,0,0,1,-OFFSET(Choices!$B$59,0,$C$1))))/OFFSET(Choices!$B$59,0,$C$1)-(AA$401-AA$400)/AA$11,((AA$401-AA$400)/AA$11-(Z$401-Z$400)/Z$11)/AA$1),0))*AB$11 +AB$400</f>
        <v>3.3983760012302389</v>
      </c>
      <c r="AC401" s="11">
        <f ca="1">((AB$401-AB$400)/AB$11+IF(AC$1&gt;0,AC$1*IF(AC$4=OFFSET(Choices!$B$10,0,$C$1),(SUMPRODUCT(OFFSET(AB$401,0,0,1,-OFFSET(Choices!$B$59,0,$C$1)),OFFSET(AB$13,0,0,1,-OFFSET(Choices!$B$59,0,$C$1)))-SUMPRODUCT(OFFSET(AB$400,0,0,1,-OFFSET(Choices!$B$59,0,$C$1)),OFFSET(AB$13,0,0,1,-OFFSET(Choices!$B$59,0,$C$1))))/OFFSET(Choices!$B$59,0,$C$1)-(AB$401-AB$400)/AB$11,((AB$401-AB$400)/AB$11-(AA$401-AA$400)/AA$11)/AB$1),0))*AC$11 +AC$400</f>
        <v>3.5391951967251343</v>
      </c>
      <c r="AD401" s="26"/>
      <c r="AE401" s="26"/>
    </row>
    <row r="402" spans="1:31" x14ac:dyDescent="0.2">
      <c r="AD402" s="26"/>
      <c r="AE402" s="26"/>
    </row>
    <row r="403" spans="1:31" x14ac:dyDescent="0.2">
      <c r="A403" s="31" t="s">
        <v>351</v>
      </c>
      <c r="AD403" s="26"/>
      <c r="AE403" s="26"/>
    </row>
    <row r="404" spans="1:31" x14ac:dyDescent="0.2">
      <c r="A404" s="3" t="s">
        <v>412</v>
      </c>
      <c r="B404" s="4" t="str">
        <f>$B$46</f>
        <v>From Fiscal Forecasts</v>
      </c>
      <c r="F404" s="21">
        <f>'Fiscal Forecasts'!F$343</f>
        <v>26.215</v>
      </c>
      <c r="G404" s="21">
        <f>'Fiscal Forecasts'!G$343</f>
        <v>28.637</v>
      </c>
      <c r="H404" s="21">
        <f>'Fiscal Forecasts'!H$343</f>
        <v>30.486999999999998</v>
      </c>
      <c r="I404" s="21">
        <f>'Fiscal Forecasts'!I$343</f>
        <v>29.986000000000001</v>
      </c>
      <c r="J404" s="21">
        <f>'Fiscal Forecasts'!J$343</f>
        <v>29.548999999999999</v>
      </c>
      <c r="K404" s="21">
        <f>'Fiscal Forecasts'!K$343</f>
        <v>29.376999999999999</v>
      </c>
      <c r="L404" s="21">
        <f>'Fiscal Forecasts'!L$343</f>
        <v>29.507000000000001</v>
      </c>
      <c r="M404" s="21">
        <f>'Fiscal Forecasts'!M$343</f>
        <v>30.963000000000001</v>
      </c>
      <c r="N404" s="21">
        <f>'Fiscal Forecasts'!N$343</f>
        <v>32.289000000000001</v>
      </c>
      <c r="O404" s="24">
        <f>'Fiscal Forecasts'!O$343</f>
        <v>33.795000000000002</v>
      </c>
      <c r="P404" s="24">
        <f>'Fiscal Forecasts'!P$343</f>
        <v>35.167000000000002</v>
      </c>
      <c r="Q404" s="24">
        <f>'Fiscal Forecasts'!Q$343</f>
        <v>35.536999999999999</v>
      </c>
      <c r="R404" s="24">
        <f>'Fiscal Forecasts'!R$343</f>
        <v>35.704000000000001</v>
      </c>
      <c r="S404" s="24">
        <f>'Fiscal Forecasts'!S$343</f>
        <v>35.847999999999999</v>
      </c>
      <c r="T404" s="26">
        <f t="shared" ref="T404:AC404" ca="1" si="221">SUM(S$404,T$408)-SUM(T$409,T$410)</f>
        <v>35.949031767635212</v>
      </c>
      <c r="U404" s="26">
        <f t="shared" ca="1" si="221"/>
        <v>36.059191004958372</v>
      </c>
      <c r="V404" s="26">
        <f t="shared" ca="1" si="221"/>
        <v>36.305889462777941</v>
      </c>
      <c r="W404" s="26">
        <f t="shared" ca="1" si="221"/>
        <v>36.558877540941481</v>
      </c>
      <c r="X404" s="26">
        <f t="shared" ca="1" si="221"/>
        <v>36.81769047443359</v>
      </c>
      <c r="Y404" s="26">
        <f t="shared" ca="1" si="221"/>
        <v>37.08025100219718</v>
      </c>
      <c r="Z404" s="26">
        <f t="shared" ca="1" si="221"/>
        <v>37.344684544997918</v>
      </c>
      <c r="AA404" s="26">
        <f t="shared" ca="1" si="221"/>
        <v>37.610636428408299</v>
      </c>
      <c r="AB404" s="26">
        <f t="shared" ca="1" si="221"/>
        <v>37.878057163440758</v>
      </c>
      <c r="AC404" s="26">
        <f t="shared" ca="1" si="221"/>
        <v>38.148758833766522</v>
      </c>
      <c r="AD404" s="26"/>
      <c r="AE404" s="26"/>
    </row>
    <row r="405" spans="1:31" x14ac:dyDescent="0.2">
      <c r="A405" s="3" t="s">
        <v>413</v>
      </c>
      <c r="B405" s="4" t="str">
        <f>$B$46</f>
        <v>From Fiscal Forecasts</v>
      </c>
      <c r="F405" s="21">
        <f>'Fiscal Forecasts'!F$344</f>
        <v>41.295999999999999</v>
      </c>
      <c r="G405" s="21">
        <f>'Fiscal Forecasts'!G$344</f>
        <v>43.658999999999999</v>
      </c>
      <c r="H405" s="21">
        <f>'Fiscal Forecasts'!H$344</f>
        <v>46.552999999999997</v>
      </c>
      <c r="I405" s="21">
        <f>'Fiscal Forecasts'!I$344</f>
        <v>48.109000000000002</v>
      </c>
      <c r="J405" s="21">
        <f>'Fiscal Forecasts'!J$344</f>
        <v>48.48</v>
      </c>
      <c r="K405" s="21">
        <f>'Fiscal Forecasts'!K$344</f>
        <v>49.939</v>
      </c>
      <c r="L405" s="21">
        <f>'Fiscal Forecasts'!L$344</f>
        <v>51.823</v>
      </c>
      <c r="M405" s="21">
        <f>'Fiscal Forecasts'!M$344</f>
        <v>56.802</v>
      </c>
      <c r="N405" s="21">
        <f>'Fiscal Forecasts'!N$344</f>
        <v>61.417000000000002</v>
      </c>
      <c r="O405" s="24">
        <f>'Fiscal Forecasts'!O$344</f>
        <v>63.587000000000003</v>
      </c>
      <c r="P405" s="24">
        <f>'Fiscal Forecasts'!P$344</f>
        <v>65.304000000000002</v>
      </c>
      <c r="Q405" s="24">
        <f>'Fiscal Forecasts'!Q$344</f>
        <v>66.893000000000001</v>
      </c>
      <c r="R405" s="24">
        <f>'Fiscal Forecasts'!R$344</f>
        <v>68.456000000000003</v>
      </c>
      <c r="S405" s="24">
        <f>'Fiscal Forecasts'!S$344</f>
        <v>69.468000000000004</v>
      </c>
      <c r="T405" s="26">
        <f ca="1">IF(T$4=OFFSET(Choices!$B$10,0,$C$1),AVERAGE(Q$405/SUM(Q$405:Q$406),R$405/SUM(R$405:R$406),S$405/SUM(S$405:S$406)),S$405/SUM(S$405:S$406))*(SUM(S$405:S$406,T$411-T$408)-SUM(T$412-T$409,T$413-T$410))</f>
        <v>69.44823671529862</v>
      </c>
      <c r="U405" s="26">
        <f ca="1">IF(U$4=OFFSET(Choices!$B$10,0,$C$1),AVERAGE(R$405/SUM(R$405:R$406),S$405/SUM(S$405:S$406),T$405/SUM(T$405:T$406)),T$405/SUM(T$405:T$406))*(SUM(T$405:T$406,U$411-U$408)-SUM(U$412-U$409,U$413-U$410))</f>
        <v>70.111098728248777</v>
      </c>
      <c r="V405" s="26">
        <f ca="1">IF(V$4=OFFSET(Choices!$B$10,0,$C$1),AVERAGE(S$405/SUM(S$405:S$406),T$405/SUM(T$405:T$406),U$405/SUM(U$405:U$406)),U$405/SUM(U$405:U$406))*(SUM(U$405:U$406,V$411-V$408)-SUM(V$412-V$409,V$413-V$410))</f>
        <v>70.889785969534955</v>
      </c>
      <c r="W405" s="26">
        <f ca="1">IF(W$4=OFFSET(Choices!$B$10,0,$C$1),AVERAGE(T$405/SUM(T$405:T$406),U$405/SUM(U$405:U$406),V$405/SUM(V$405:V$406)),V$405/SUM(V$405:V$406))*(SUM(V$405:V$406,W$411-W$408)-SUM(W$412-W$409,W$413-W$410))</f>
        <v>71.785365184673651</v>
      </c>
      <c r="X405" s="26">
        <f ca="1">IF(X$4=OFFSET(Choices!$B$10,0,$C$1),AVERAGE(U$405/SUM(U$405:U$406),V$405/SUM(V$405:V$406),W$405/SUM(W$405:W$406)),W$405/SUM(W$405:W$406))*(SUM(W$405:W$406,X$411-X$408)-SUM(X$412-X$409,X$413-X$410))</f>
        <v>72.799642331627012</v>
      </c>
      <c r="Y405" s="26">
        <f ca="1">IF(Y$4=OFFSET(Choices!$B$10,0,$C$1),AVERAGE(V$405/SUM(V$405:V$406),W$405/SUM(W$405:W$406),X$405/SUM(X$405:X$406)),X$405/SUM(X$405:X$406))*(SUM(X$405:X$406,Y$411-Y$408)-SUM(Y$412-Y$409,Y$413-Y$410))</f>
        <v>73.933270235034328</v>
      </c>
      <c r="Z405" s="26">
        <f ca="1">IF(Z$4=OFFSET(Choices!$B$10,0,$C$1),AVERAGE(W$405/SUM(W$405:W$406),X$405/SUM(X$405:X$406),Y$405/SUM(Y$405:Y$406)),Y$405/SUM(Y$405:Y$406))*(SUM(Y$405:Y$406,Z$411-Z$408)-SUM(Z$412-Z$409,Z$413-Z$410))</f>
        <v>75.186564149823141</v>
      </c>
      <c r="AA405" s="26">
        <f ca="1">IF(AA$4=OFFSET(Choices!$B$10,0,$C$1),AVERAGE(X$405/SUM(X$405:X$406),Y$405/SUM(Y$405:Y$406),Z$405/SUM(Z$405:Z$406)),Z$405/SUM(Z$405:Z$406))*(SUM(Z$405:Z$406,AA$411-AA$408)-SUM(AA$412-AA$409,AA$413-AA$410))</f>
        <v>76.559940373204014</v>
      </c>
      <c r="AB405" s="26">
        <f ca="1">IF(AB$4=OFFSET(Choices!$B$10,0,$C$1),AVERAGE(Y$405/SUM(Y$405:Y$406),Z$405/SUM(Z$405:Z$406),AA$405/SUM(AA$405:AA$406)),AA$405/SUM(AA$405:AA$406))*(SUM(AA$405:AA$406,AB$411-AB$408)-SUM(AB$412-AB$409,AB$413-AB$410))</f>
        <v>78.053168543722876</v>
      </c>
      <c r="AC405" s="26">
        <f ca="1">IF(AC$4=OFFSET(Choices!$B$10,0,$C$1),AVERAGE(Z$405/SUM(Z$405:Z$406),AA$405/SUM(AA$405:AA$406),AB$405/SUM(AB$405:AB$406)),AB$405/SUM(AB$405:AB$406))*(SUM(AB$405:AB$406,AC$411-AC$408)-SUM(AC$412-AC$409,AC$413-AC$410))</f>
        <v>79.666900877512646</v>
      </c>
      <c r="AD405" s="26"/>
      <c r="AE405" s="26"/>
    </row>
    <row r="406" spans="1:31" x14ac:dyDescent="0.2">
      <c r="A406" s="3" t="s">
        <v>414</v>
      </c>
      <c r="B406" s="4" t="str">
        <f>$B$46</f>
        <v>From Fiscal Forecasts</v>
      </c>
      <c r="F406" s="21">
        <f>'Fiscal Forecasts'!F$345</f>
        <v>28.087</v>
      </c>
      <c r="G406" s="21">
        <f>'Fiscal Forecasts'!G$345</f>
        <v>31.033000000000001</v>
      </c>
      <c r="H406" s="21">
        <f>'Fiscal Forecasts'!H$345</f>
        <v>33.094999999999999</v>
      </c>
      <c r="I406" s="21">
        <f>'Fiscal Forecasts'!I$345</f>
        <v>35.234999999999999</v>
      </c>
      <c r="J406" s="21">
        <f>'Fiscal Forecasts'!J$345</f>
        <v>36.825000000000003</v>
      </c>
      <c r="K406" s="21">
        <f>'Fiscal Forecasts'!K$345</f>
        <v>29.268000000000001</v>
      </c>
      <c r="L406" s="21">
        <f>'Fiscal Forecasts'!L$345</f>
        <v>28.503</v>
      </c>
      <c r="M406" s="21">
        <f>'Fiscal Forecasts'!M$345</f>
        <v>28.541</v>
      </c>
      <c r="N406" s="21">
        <f>'Fiscal Forecasts'!N$345</f>
        <v>30.852</v>
      </c>
      <c r="O406" s="24">
        <f>'Fiscal Forecasts'!O$345</f>
        <v>31.09</v>
      </c>
      <c r="P406" s="24">
        <f>'Fiscal Forecasts'!P$345</f>
        <v>31.443999999999999</v>
      </c>
      <c r="Q406" s="24">
        <f>'Fiscal Forecasts'!Q$345</f>
        <v>31.658000000000001</v>
      </c>
      <c r="R406" s="24">
        <f>'Fiscal Forecasts'!R$345</f>
        <v>31.635999999999999</v>
      </c>
      <c r="S406" s="24">
        <f>'Fiscal Forecasts'!S$345</f>
        <v>31.233000000000001</v>
      </c>
      <c r="T406" s="26">
        <f ca="1">IF(T$4=OFFSET(Choices!$B$10,0,$C$1),AVERAGE(Q$406/SUM(Q$405:Q$406),R$406/SUM(R$405:R$406),S$406/SUM(S$405:S$406)),S$406/SUM(S$405:S$406))*(SUM(S$405:S$406,T$411-T$408)-SUM(T$412-T$409,T$413-T$410))</f>
        <v>32.057546944960173</v>
      </c>
      <c r="U406" s="26">
        <f ca="1">IF(U$4=OFFSET(Choices!$B$10,0,$C$1),AVERAGE(R$406/SUM(R$405:R$406),S$406/SUM(S$405:S$406),T$406/SUM(T$405:T$406)),T$406/SUM(T$405:T$406))*(SUM(T$405:T$406,U$411-U$408)-SUM(U$412-U$409,U$413-U$410))</f>
        <v>32.36352634923638</v>
      </c>
      <c r="V406" s="26">
        <f ca="1">IF(V$4=OFFSET(Choices!$B$10,0,$C$1),AVERAGE(S$406/SUM(S$405:S$406),T$406/SUM(T$405:T$406),U$406/SUM(U$405:U$406)),U$406/SUM(U$405:U$406))*(SUM(U$405:U$406,V$411-V$408)-SUM(V$412-V$409,V$413-V$410))</f>
        <v>32.722971080645586</v>
      </c>
      <c r="W406" s="26">
        <f ca="1">IF(W$4=OFFSET(Choices!$B$10,0,$C$1),AVERAGE(T$406/SUM(T$405:T$406),U$406/SUM(U$405:U$406),V$406/SUM(V$405:V$406)),V$406/SUM(V$405:V$406))*(SUM(V$405:V$406,W$411-W$408)-SUM(W$412-W$409,W$413-W$410))</f>
        <v>33.136373552618139</v>
      </c>
      <c r="X406" s="26">
        <f ca="1">IF(X$4=OFFSET(Choices!$B$10,0,$C$1),AVERAGE(U$406/SUM(U$405:U$406),V$406/SUM(V$405:V$406),W$406/SUM(W$405:W$406)),W$406/SUM(W$405:W$406))*(SUM(W$405:W$406,X$411-X$408)-SUM(X$412-X$409,X$413-X$410))</f>
        <v>33.604567401613231</v>
      </c>
      <c r="Y406" s="26">
        <f ca="1">IF(Y$4=OFFSET(Choices!$B$10,0,$C$1),AVERAGE(V$406/SUM(V$405:V$406),W$406/SUM(W$405:W$406),X$406/SUM(X$405:X$406)),X$406/SUM(X$405:X$406))*(SUM(X$405:X$406,Y$411-Y$408)-SUM(Y$412-Y$409,Y$413-Y$410))</f>
        <v>34.127853973748643</v>
      </c>
      <c r="Z406" s="26">
        <f ca="1">IF(Z$4=OFFSET(Choices!$B$10,0,$C$1),AVERAGE(W$406/SUM(W$405:W$406),X$406/SUM(X$405:X$406),Y$406/SUM(Y$405:Y$406)),Y$406/SUM(Y$405:Y$406))*(SUM(Y$405:Y$406,Z$411-Z$408)-SUM(Z$412-Z$409,Z$413-Z$410))</f>
        <v>34.706378791792368</v>
      </c>
      <c r="AA406" s="26">
        <f ca="1">IF(AA$4=OFFSET(Choices!$B$10,0,$C$1),AVERAGE(X$406/SUM(X$405:X$406),Y$406/SUM(Y$405:Y$406),Z$406/SUM(Z$405:Z$406)),Z$406/SUM(Z$405:Z$406))*(SUM(Z$405:Z$406,AA$411-AA$408)-SUM(AA$412-AA$409,AA$413-AA$410))</f>
        <v>35.340334019980702</v>
      </c>
      <c r="AB406" s="26">
        <f ca="1">IF(AB$4=OFFSET(Choices!$B$10,0,$C$1),AVERAGE(Y$406/SUM(Y$405:Y$406),Z$406/SUM(Z$405:Z$406),AA$406/SUM(AA$405:AA$406)),AA$406/SUM(AA$405:AA$406))*(SUM(AA$405:AA$406,AB$411-AB$408)-SUM(AB$412-AB$409,AB$413-AB$410))</f>
        <v>36.029613322667451</v>
      </c>
      <c r="AC406" s="26">
        <f ca="1">IF(AC$4=OFFSET(Choices!$B$10,0,$C$1),AVERAGE(Z$406/SUM(Z$405:Z$406),AA$406/SUM(AA$405:AA$406),AB$406/SUM(AB$405:AB$406)),AB$406/SUM(AB$405:AB$406))*(SUM(AB$405:AB$406,AC$411-AC$408)-SUM(AC$412-AC$409,AC$413-AC$410))</f>
        <v>36.774517765081747</v>
      </c>
      <c r="AD406" s="26"/>
      <c r="AE406" s="26"/>
    </row>
    <row r="407" spans="1:31" x14ac:dyDescent="0.2">
      <c r="A407" s="31" t="s">
        <v>722</v>
      </c>
      <c r="F407" s="56">
        <f>SUM(F$404:F$406)</f>
        <v>95.597999999999999</v>
      </c>
      <c r="G407" s="56">
        <f t="shared" ref="G407:AC407" si="222">SUM(G$404:G$406)</f>
        <v>103.32899999999999</v>
      </c>
      <c r="H407" s="56">
        <f t="shared" si="222"/>
        <v>110.13499999999999</v>
      </c>
      <c r="I407" s="56">
        <f t="shared" si="222"/>
        <v>113.33</v>
      </c>
      <c r="J407" s="56">
        <f t="shared" si="222"/>
        <v>114.854</v>
      </c>
      <c r="K407" s="56">
        <f t="shared" si="222"/>
        <v>108.584</v>
      </c>
      <c r="L407" s="56">
        <f t="shared" si="222"/>
        <v>109.833</v>
      </c>
      <c r="M407" s="56">
        <f t="shared" si="222"/>
        <v>116.306</v>
      </c>
      <c r="N407" s="56">
        <f t="shared" si="222"/>
        <v>124.55800000000001</v>
      </c>
      <c r="O407" s="57">
        <f t="shared" si="222"/>
        <v>128.47200000000001</v>
      </c>
      <c r="P407" s="57">
        <f t="shared" si="222"/>
        <v>131.91499999999999</v>
      </c>
      <c r="Q407" s="57">
        <f t="shared" si="222"/>
        <v>134.08800000000002</v>
      </c>
      <c r="R407" s="57">
        <f t="shared" si="222"/>
        <v>135.79599999999999</v>
      </c>
      <c r="S407" s="57">
        <f t="shared" si="222"/>
        <v>136.54900000000001</v>
      </c>
      <c r="T407" s="58">
        <f t="shared" ca="1" si="222"/>
        <v>137.454815427894</v>
      </c>
      <c r="U407" s="58">
        <f t="shared" ca="1" si="222"/>
        <v>138.53381608244354</v>
      </c>
      <c r="V407" s="58">
        <f t="shared" ca="1" si="222"/>
        <v>139.91864651295847</v>
      </c>
      <c r="W407" s="58">
        <f t="shared" ca="1" si="222"/>
        <v>141.48061627823327</v>
      </c>
      <c r="X407" s="58">
        <f t="shared" ca="1" si="222"/>
        <v>143.22190020767383</v>
      </c>
      <c r="Y407" s="58">
        <f t="shared" ca="1" si="222"/>
        <v>145.14137521098016</v>
      </c>
      <c r="Z407" s="58">
        <f t="shared" ca="1" si="222"/>
        <v>147.23762748661343</v>
      </c>
      <c r="AA407" s="58">
        <f t="shared" ca="1" si="222"/>
        <v>149.51091082159303</v>
      </c>
      <c r="AB407" s="58">
        <f t="shared" ca="1" si="222"/>
        <v>151.96083902983108</v>
      </c>
      <c r="AC407" s="58">
        <f t="shared" ca="1" si="222"/>
        <v>154.59017747636091</v>
      </c>
      <c r="AD407" s="26"/>
      <c r="AE407" s="26"/>
    </row>
    <row r="408" spans="1:31" x14ac:dyDescent="0.2">
      <c r="A408" s="3" t="s">
        <v>743</v>
      </c>
      <c r="F408" s="71">
        <f>ROUND(F$411*F$404/SUM(F$404:F$406),3)</f>
        <v>2.1019999999999999</v>
      </c>
      <c r="G408" s="21">
        <f>SUM(G$404-F$404,G$409,G$410)</f>
        <v>2.6740000000000004</v>
      </c>
      <c r="H408" s="21">
        <f t="shared" ref="H408:N408" si="223">SUM(H$404-G$404,H$409,H$410)</f>
        <v>1.9359999999999977</v>
      </c>
      <c r="I408" s="21">
        <f t="shared" si="223"/>
        <v>-0.18399999999999772</v>
      </c>
      <c r="J408" s="21">
        <f t="shared" si="223"/>
        <v>-0.14500000000000124</v>
      </c>
      <c r="K408" s="21">
        <f t="shared" si="223"/>
        <v>0.20299999999999929</v>
      </c>
      <c r="L408" s="21">
        <f t="shared" si="223"/>
        <v>8.4000000000002628E-2</v>
      </c>
      <c r="M408" s="21">
        <f t="shared" si="223"/>
        <v>1.5039999999999996</v>
      </c>
      <c r="N408" s="21">
        <f t="shared" si="223"/>
        <v>1.5800000000000005</v>
      </c>
      <c r="O408" s="24">
        <f>SUM(O$404-N$404,O$409,O$410)</f>
        <v>2.593</v>
      </c>
      <c r="P408" s="24">
        <f>SUM(P$404-O$404,P$409,P$410)</f>
        <v>2.3919999999999999</v>
      </c>
      <c r="Q408" s="24">
        <f>SUM(Q$404-P$404,Q$409,Q$410)</f>
        <v>1.5099999999999976</v>
      </c>
      <c r="R408" s="24">
        <f>SUM(R$404-Q$404,R$409,R$410)</f>
        <v>1.4010000000000016</v>
      </c>
      <c r="S408" s="24">
        <f>SUM(S$404-R$404,S$409,S$410)</f>
        <v>1.3929999999999982</v>
      </c>
      <c r="T408" s="26">
        <f t="shared" ref="T408:AC408" ca="1" si="224">SUM(T$409,T$410,T$372-S$372)</f>
        <v>1.3975171735337732</v>
      </c>
      <c r="U408" s="26">
        <f t="shared" ca="1" si="224"/>
        <v>1.445357336792281</v>
      </c>
      <c r="V408" s="26">
        <f t="shared" ca="1" si="224"/>
        <v>1.6202380663311009</v>
      </c>
      <c r="W408" s="26">
        <f t="shared" ca="1" si="224"/>
        <v>1.6689821149758135</v>
      </c>
      <c r="X408" s="26">
        <f t="shared" ca="1" si="224"/>
        <v>1.7165574862467605</v>
      </c>
      <c r="Y408" s="26">
        <f t="shared" ca="1" si="224"/>
        <v>1.7629165247247731</v>
      </c>
      <c r="Z408" s="26">
        <f t="shared" ca="1" si="224"/>
        <v>1.8082048161103701</v>
      </c>
      <c r="AA408" s="26">
        <f t="shared" ca="1" si="224"/>
        <v>1.8538923004825891</v>
      </c>
      <c r="AB408" s="26">
        <f t="shared" ca="1" si="224"/>
        <v>1.9002859568638035</v>
      </c>
      <c r="AC408" s="26">
        <f t="shared" ca="1" si="224"/>
        <v>1.9492597659763933</v>
      </c>
      <c r="AD408" s="26"/>
      <c r="AE408" s="26"/>
    </row>
    <row r="409" spans="1:31" x14ac:dyDescent="0.2">
      <c r="A409" s="3" t="s">
        <v>848</v>
      </c>
      <c r="F409" s="21">
        <f>ROUND(F$412*F$404/SUM(F$404:F$406),3)</f>
        <v>-0.47199999999999998</v>
      </c>
      <c r="G409" s="21">
        <f t="shared" ref="G409:S409" si="225">ROUND(G$412*G$404/SUM(G$404:G$406),3)</f>
        <v>-0.6</v>
      </c>
      <c r="H409" s="21">
        <f t="shared" si="225"/>
        <v>-0.86599999999999999</v>
      </c>
      <c r="I409" s="21">
        <f t="shared" si="225"/>
        <v>-0.63100000000000001</v>
      </c>
      <c r="J409" s="21">
        <f t="shared" si="225"/>
        <v>-0.66700000000000004</v>
      </c>
      <c r="K409" s="21">
        <f t="shared" si="225"/>
        <v>-0.65400000000000003</v>
      </c>
      <c r="L409" s="21">
        <f t="shared" si="225"/>
        <v>-1.0389999999999999</v>
      </c>
      <c r="M409" s="21">
        <f t="shared" si="225"/>
        <v>-0.96499999999999997</v>
      </c>
      <c r="N409" s="21">
        <f t="shared" si="225"/>
        <v>-0.75</v>
      </c>
      <c r="O409" s="24">
        <f t="shared" si="225"/>
        <v>-4.2000000000000003E-2</v>
      </c>
      <c r="P409" s="24">
        <f t="shared" si="225"/>
        <v>-0.16600000000000001</v>
      </c>
      <c r="Q409" s="24">
        <f t="shared" si="225"/>
        <v>-8.5999999999999993E-2</v>
      </c>
      <c r="R409" s="24">
        <f t="shared" si="225"/>
        <v>-1.4999999999999999E-2</v>
      </c>
      <c r="S409" s="24">
        <f t="shared" si="225"/>
        <v>-1.6E-2</v>
      </c>
      <c r="T409" s="26">
        <f t="shared" ref="T409:AC409" ca="1" si="226">S$409*T$29/S$29</f>
        <v>-1.6326301158301158E-2</v>
      </c>
      <c r="U409" s="26">
        <f t="shared" ca="1" si="226"/>
        <v>-1.6652827181467184E-2</v>
      </c>
      <c r="V409" s="26">
        <f t="shared" ca="1" si="226"/>
        <v>-1.6985883725096528E-2</v>
      </c>
      <c r="W409" s="26">
        <f t="shared" ca="1" si="226"/>
        <v>-1.7325601399598458E-2</v>
      </c>
      <c r="X409" s="26">
        <f t="shared" ca="1" si="226"/>
        <v>-1.7672113427590428E-2</v>
      </c>
      <c r="Y409" s="26">
        <f t="shared" ca="1" si="226"/>
        <v>-1.8025555696142236E-2</v>
      </c>
      <c r="Z409" s="26">
        <f t="shared" ca="1" si="226"/>
        <v>-1.8386066810065081E-2</v>
      </c>
      <c r="AA409" s="26">
        <f t="shared" ca="1" si="226"/>
        <v>-1.8753788146266381E-2</v>
      </c>
      <c r="AB409" s="26">
        <f t="shared" ca="1" si="226"/>
        <v>-1.9128863909191711E-2</v>
      </c>
      <c r="AC409" s="26">
        <f t="shared" ca="1" si="226"/>
        <v>-1.9511441187375543E-2</v>
      </c>
      <c r="AD409" s="26"/>
      <c r="AE409" s="26"/>
    </row>
    <row r="410" spans="1:31" x14ac:dyDescent="0.2">
      <c r="A410" s="3" t="s">
        <v>745</v>
      </c>
      <c r="F410" s="21">
        <f>ROUND(F$413*F$404/SUM(F$404:F$406),3)</f>
        <v>0.79800000000000004</v>
      </c>
      <c r="G410" s="21">
        <f>ROUND(G$413*G$404/SUM(G$404:G$406),3)</f>
        <v>0.85199999999999998</v>
      </c>
      <c r="H410" s="21">
        <f t="shared" ref="H410:S410" si="227">ROUND(H$413*H$404/SUM(H$404:H$406),3)</f>
        <v>0.95199999999999996</v>
      </c>
      <c r="I410" s="21">
        <f t="shared" si="227"/>
        <v>0.94799999999999995</v>
      </c>
      <c r="J410" s="21">
        <f t="shared" si="227"/>
        <v>0.95899999999999996</v>
      </c>
      <c r="K410" s="21">
        <f t="shared" si="227"/>
        <v>1.0289999999999999</v>
      </c>
      <c r="L410" s="21">
        <f t="shared" si="227"/>
        <v>0.99299999999999999</v>
      </c>
      <c r="M410" s="21">
        <f t="shared" si="227"/>
        <v>1.0129999999999999</v>
      </c>
      <c r="N410" s="21">
        <f t="shared" si="227"/>
        <v>1.004</v>
      </c>
      <c r="O410" s="24">
        <f t="shared" si="227"/>
        <v>1.129</v>
      </c>
      <c r="P410" s="24">
        <f t="shared" si="227"/>
        <v>1.1859999999999999</v>
      </c>
      <c r="Q410" s="24">
        <f t="shared" si="227"/>
        <v>1.226</v>
      </c>
      <c r="R410" s="24">
        <f t="shared" si="227"/>
        <v>1.2490000000000001</v>
      </c>
      <c r="S410" s="24">
        <f t="shared" si="227"/>
        <v>1.2649999999999999</v>
      </c>
      <c r="T410" s="26">
        <f ca="1">IF(T$4=OFFSET(Choices!$B$10,0,$C$1),AVERAGE(Q$410/SUM(P$404,P$323,P$324),R$410/SUM(Q$404,Q$323,Q$324),S$410/SUM(R$404,R$323,R$324)),S$410/SUM(R$404,R$323,R$324))*SUM(S$404,S$323,S$324)</f>
        <v>1.3128117070568559</v>
      </c>
      <c r="U410" s="26">
        <f ca="1">IF(U$4=OFFSET(Choices!$B$10,0,$C$1),AVERAGE(R$410/SUM(Q$404,Q$323,Q$324),S$410/SUM(R$404,R$323,R$324),T$410/SUM(S$404,S$323,S$324)),T$410/SUM(S$404,S$323,S$324))*SUM(T$404,T$323,T$324)</f>
        <v>1.3518509266505943</v>
      </c>
      <c r="V410" s="26">
        <f ca="1">IF(V$4=OFFSET(Choices!$B$10,0,$C$1),AVERAGE(S$410/SUM(R$404,R$323,R$324),T$410/SUM(S$404,S$323,S$324),U$410/SUM(T$404,T$323,T$324)),U$410/SUM(T$404,T$323,T$324))*SUM(U$404,U$323,U$324)</f>
        <v>1.3905254922366266</v>
      </c>
      <c r="W410" s="26">
        <f ca="1">IF(W$4=OFFSET(Choices!$B$10,0,$C$1),AVERAGE(T$410/SUM(S$404,S$323,S$324),U$410/SUM(T$404,T$323,T$324),V$410/SUM(U$404,U$323,U$324)),V$410/SUM(U$404,U$323,U$324))*SUM(V$404,V$323,V$324)</f>
        <v>1.4333196382118738</v>
      </c>
      <c r="X410" s="26">
        <f ca="1">IF(X$4=OFFSET(Choices!$B$10,0,$C$1),AVERAGE(U$410/SUM(T$404,T$323,T$324),V$410/SUM(U$404,U$323,U$324),W$410/SUM(V$404,V$323,V$324)),W$410/SUM(V$404,V$323,V$324))*SUM(W$404,W$323,W$324)</f>
        <v>1.4754166661822479</v>
      </c>
      <c r="Y410" s="26">
        <f ca="1">IF(Y$4=OFFSET(Choices!$B$10,0,$C$1),AVERAGE(V$410/SUM(U$404,U$323,U$324),W$410/SUM(V$404,V$323,V$324),X$410/SUM(W$404,W$323,W$324)),X$410/SUM(W$404,W$323,W$324))*SUM(X$404,X$323,X$324)</f>
        <v>1.5183815526573272</v>
      </c>
      <c r="Z410" s="26">
        <f ca="1">IF(Z$4=OFFSET(Choices!$B$10,0,$C$1),AVERAGE(W$410/SUM(V$404,V$323,V$324),X$410/SUM(W$404,W$323,W$324),Y$410/SUM(X$404,X$323,X$324)),Y$410/SUM(X$404,X$323,X$324))*SUM(Y$404,Y$323,Y$324)</f>
        <v>1.5621573401196975</v>
      </c>
      <c r="AA410" s="26">
        <f ca="1">IF(AA$4=OFFSET(Choices!$B$10,0,$C$1),AVERAGE(X$410/SUM(W$404,W$323,W$324),Y$410/SUM(X$404,X$323,X$324),Z$410/SUM(Y$404,Y$323,Y$324)),Z$410/SUM(Y$404,Y$323,Y$324))*SUM(Z$404,Z$323,Z$324)</f>
        <v>1.6066942052184778</v>
      </c>
      <c r="AB410" s="26">
        <f ca="1">IF(AB$4=OFFSET(Choices!$B$10,0,$C$1),AVERAGE(Y$410/SUM(X$404,X$323,X$324),Z$410/SUM(Y$404,Y$323,Y$324),AA$410/SUM(Z$404,Z$323,Z$324)),AA$410/SUM(Z$404,Z$323,Z$324))*SUM(AA$404,AA$323,AA$324)</f>
        <v>1.6519940857405395</v>
      </c>
      <c r="AC410" s="26">
        <f ca="1">IF(AC$4=OFFSET(Choices!$B$10,0,$C$1),AVERAGE(Z$410/SUM(Y$404,Y$323,Y$324),AA$410/SUM(Z$404,Z$323,Z$324),AB$410/SUM(AA$404,AA$323,AA$324)),AB$410/SUM(AA$404,AA$323,AA$324))*SUM(AB$404,AB$323,AB$324)</f>
        <v>1.6980695368380083</v>
      </c>
      <c r="AD410" s="26"/>
      <c r="AE410" s="26"/>
    </row>
    <row r="411" spans="1:31" x14ac:dyDescent="0.2">
      <c r="A411" s="3" t="s">
        <v>723</v>
      </c>
      <c r="B411" s="4" t="str">
        <f>$B$46</f>
        <v>From Fiscal Forecasts</v>
      </c>
      <c r="F411" s="21">
        <f>SUM('Fiscal Forecasts'!F$349:F$352)</f>
        <v>7.665</v>
      </c>
      <c r="G411" s="21">
        <f>SUM('Fiscal Forecasts'!G$349:G$352)</f>
        <v>8.641</v>
      </c>
      <c r="H411" s="21">
        <f>SUM('Fiscal Forecasts'!H$349:H$352)</f>
        <v>7.1189999999999998</v>
      </c>
      <c r="I411" s="21">
        <f>SUM('Fiscal Forecasts'!I$349:I$352)</f>
        <v>4.3939999999999992</v>
      </c>
      <c r="J411" s="21">
        <f>SUM('Fiscal Forecasts'!J$349:J$352)</f>
        <v>2.6600000000000006</v>
      </c>
      <c r="K411" s="21">
        <f>SUM('Fiscal Forecasts'!K$349:K$352)</f>
        <v>-4.8839999999999986</v>
      </c>
      <c r="L411" s="21">
        <f>SUM('Fiscal Forecasts'!L$349:L$352)</f>
        <v>1.0789999999999997</v>
      </c>
      <c r="M411" s="21">
        <f>SUM('Fiscal Forecasts'!M$349:M$352)</f>
        <v>6.6529999999999996</v>
      </c>
      <c r="N411" s="21">
        <f>SUM('Fiscal Forecasts'!N$349:N$352)</f>
        <v>9.2320000000000011</v>
      </c>
      <c r="O411" s="24">
        <f>SUM('Fiscal Forecasts'!O$349:O$352)</f>
        <v>8.0449999999999999</v>
      </c>
      <c r="P411" s="24">
        <f>SUM('Fiscal Forecasts'!P$349:P$352)</f>
        <v>7.2690000000000001</v>
      </c>
      <c r="Q411" s="24">
        <f>SUM('Fiscal Forecasts'!Q$349:Q$352)</f>
        <v>6.4750000000000005</v>
      </c>
      <c r="R411" s="24">
        <f>SUM('Fiscal Forecasts'!R$349:R$352)</f>
        <v>6.4020000000000001</v>
      </c>
      <c r="S411" s="24">
        <f>SUM('Fiscal Forecasts'!S$349:S$352)</f>
        <v>5.5089999999999995</v>
      </c>
      <c r="T411" s="26">
        <f t="shared" ref="T411:AC411" ca="1" si="228">(S$411-S$408-(S$138-S$279))*T$11/S$11+T$408+T$138-T$279</f>
        <v>5.7196888660938061</v>
      </c>
      <c r="U411" s="26">
        <f t="shared" ca="1" si="228"/>
        <v>5.9591334555665147</v>
      </c>
      <c r="V411" s="26">
        <f t="shared" ca="1" si="228"/>
        <v>6.3366394821031236</v>
      </c>
      <c r="W411" s="26">
        <f t="shared" ca="1" si="228"/>
        <v>6.5955408991132494</v>
      </c>
      <c r="X411" s="26">
        <f t="shared" ca="1" si="228"/>
        <v>6.8619409492283578</v>
      </c>
      <c r="Y411" s="26">
        <f t="shared" ca="1" si="228"/>
        <v>7.1341995915078158</v>
      </c>
      <c r="Z411" s="26">
        <f t="shared" ca="1" si="228"/>
        <v>7.4120023931107522</v>
      </c>
      <c r="AA411" s="26">
        <f t="shared" ca="1" si="228"/>
        <v>7.6969828807006628</v>
      </c>
      <c r="AB411" s="26">
        <f t="shared" ca="1" si="228"/>
        <v>7.9885239967440995</v>
      </c>
      <c r="AC411" s="26">
        <f t="shared" ca="1" si="228"/>
        <v>8.289777360104658</v>
      </c>
      <c r="AD411" s="26"/>
      <c r="AE411" s="26"/>
    </row>
    <row r="412" spans="1:31" x14ac:dyDescent="0.2">
      <c r="A412" s="3" t="s">
        <v>849</v>
      </c>
      <c r="B412" s="4" t="str">
        <f>$B$46</f>
        <v>From Fiscal Forecasts</v>
      </c>
      <c r="F412" s="21">
        <f>SUM('Fiscal Forecasts'!F$354:F$356,'Fiscal Forecasts'!F$358)</f>
        <v>-1.7209999999999999</v>
      </c>
      <c r="G412" s="21">
        <f>SUM('Fiscal Forecasts'!G$354:G$356,'Fiscal Forecasts'!G$358)</f>
        <v>-2.1640000000000001</v>
      </c>
      <c r="H412" s="21">
        <f>SUM('Fiscal Forecasts'!H$354:H$356,'Fiscal Forecasts'!H$358)</f>
        <v>-3.1270000000000007</v>
      </c>
      <c r="I412" s="21">
        <f>SUM('Fiscal Forecasts'!I$354:I$356,'Fiscal Forecasts'!I$358)</f>
        <v>-2.383</v>
      </c>
      <c r="J412" s="21">
        <f>SUM('Fiscal Forecasts'!J$354:J$356,'Fiscal Forecasts'!J$358)</f>
        <v>-2.5909999999999997</v>
      </c>
      <c r="K412" s="21">
        <f>SUM('Fiscal Forecasts'!K$354:K$356,'Fiscal Forecasts'!K$358)</f>
        <v>-2.4170000000000007</v>
      </c>
      <c r="L412" s="21">
        <f>SUM('Fiscal Forecasts'!L$354:L$356,'Fiscal Forecasts'!L$358)</f>
        <v>-3.8670000000000004</v>
      </c>
      <c r="M412" s="21">
        <f>SUM('Fiscal Forecasts'!M$354:M$356,'Fiscal Forecasts'!M$358)</f>
        <v>-3.6249999999999996</v>
      </c>
      <c r="N412" s="21">
        <f>SUM('Fiscal Forecasts'!N$354:N$356,'Fiscal Forecasts'!N$358)</f>
        <v>-2.8930000000000002</v>
      </c>
      <c r="O412" s="24">
        <f>SUM('Fiscal Forecasts'!O$354:O$356,'Fiscal Forecasts'!O$358)</f>
        <v>-0.16</v>
      </c>
      <c r="P412" s="24">
        <f>SUM('Fiscal Forecasts'!P$354:P$356,'Fiscal Forecasts'!P$358)</f>
        <v>-0.624</v>
      </c>
      <c r="Q412" s="24">
        <f>SUM('Fiscal Forecasts'!Q$354:Q$356,'Fiscal Forecasts'!Q$358)</f>
        <v>-0.32500000000000001</v>
      </c>
      <c r="R412" s="24">
        <f>SUM('Fiscal Forecasts'!R$354:R$356,'Fiscal Forecasts'!R$358)</f>
        <v>-5.6999999999999995E-2</v>
      </c>
      <c r="S412" s="24">
        <f>SUM('Fiscal Forecasts'!S$354:S$356,'Fiscal Forecasts'!S$358)</f>
        <v>-6.2E-2</v>
      </c>
      <c r="T412" s="26">
        <f t="shared" ref="T412:AC412" ca="1" si="229">(S$412-S$409)*T$29/S$29+T$409</f>
        <v>-6.3264416988417005E-2</v>
      </c>
      <c r="U412" s="26">
        <f t="shared" ca="1" si="229"/>
        <v>-6.4529705328185347E-2</v>
      </c>
      <c r="V412" s="26">
        <f t="shared" ca="1" si="229"/>
        <v>-6.5820299434749055E-2</v>
      </c>
      <c r="W412" s="26">
        <f t="shared" ca="1" si="229"/>
        <v>-6.7136705423444021E-2</v>
      </c>
      <c r="X412" s="26">
        <f t="shared" ca="1" si="229"/>
        <v>-6.8479439531912906E-2</v>
      </c>
      <c r="Y412" s="26">
        <f t="shared" ca="1" si="229"/>
        <v>-6.9849028322551174E-2</v>
      </c>
      <c r="Z412" s="26">
        <f t="shared" ca="1" si="229"/>
        <v>-7.1246008889002191E-2</v>
      </c>
      <c r="AA412" s="26">
        <f t="shared" ca="1" si="229"/>
        <v>-7.2670929066782242E-2</v>
      </c>
      <c r="AB412" s="26">
        <f t="shared" ca="1" si="229"/>
        <v>-7.41243476481179E-2</v>
      </c>
      <c r="AC412" s="26">
        <f t="shared" ca="1" si="229"/>
        <v>-7.5606834601080253E-2</v>
      </c>
      <c r="AD412" s="26"/>
      <c r="AE412" s="26"/>
    </row>
    <row r="413" spans="1:31" x14ac:dyDescent="0.2">
      <c r="A413" s="3" t="s">
        <v>642</v>
      </c>
      <c r="B413" s="4" t="str">
        <f>$B$46</f>
        <v>From Fiscal Forecasts</v>
      </c>
      <c r="F413" s="21">
        <f>'Fiscal Forecasts'!F$357</f>
        <v>2.911</v>
      </c>
      <c r="G413" s="21">
        <f>'Fiscal Forecasts'!G$357</f>
        <v>3.0739999999999998</v>
      </c>
      <c r="H413" s="21">
        <f>'Fiscal Forecasts'!H$357</f>
        <v>3.44</v>
      </c>
      <c r="I413" s="21">
        <f>'Fiscal Forecasts'!I$357</f>
        <v>3.5819999999999999</v>
      </c>
      <c r="J413" s="21">
        <f>'Fiscal Forecasts'!J$357</f>
        <v>3.7269999999999999</v>
      </c>
      <c r="K413" s="21">
        <f>'Fiscal Forecasts'!K$357</f>
        <v>3.8029999999999999</v>
      </c>
      <c r="L413" s="21">
        <f>'Fiscal Forecasts'!L$357</f>
        <v>3.6970000000000001</v>
      </c>
      <c r="M413" s="21">
        <f>'Fiscal Forecasts'!M$357</f>
        <v>3.8050000000000002</v>
      </c>
      <c r="N413" s="21">
        <f>'Fiscal Forecasts'!N$357</f>
        <v>3.8730000000000002</v>
      </c>
      <c r="O413" s="24">
        <f>'Fiscal Forecasts'!O$357</f>
        <v>4.2910000000000004</v>
      </c>
      <c r="P413" s="24">
        <f>'Fiscal Forecasts'!P$357</f>
        <v>4.45</v>
      </c>
      <c r="Q413" s="24">
        <f>'Fiscal Forecasts'!Q$357</f>
        <v>4.6269999999999998</v>
      </c>
      <c r="R413" s="24">
        <f>'Fiscal Forecasts'!R$357</f>
        <v>4.7510000000000003</v>
      </c>
      <c r="S413" s="24">
        <f>'Fiscal Forecasts'!S$357</f>
        <v>4.8179999999999996</v>
      </c>
      <c r="T413" s="26">
        <f ca="1">IF(T$4=OFFSET(Choices!$B$10,0,$C$1),AVERAGE((Q$413-Q$410)/SUM(P$405,P$406),(R$413-R$410)/SUM(Q$405,Q$406),(S$413-S$410)/SUM(R$405,R$406)),(S$413-S$410)/SUM(R$405,R$406))*SUM(S$405,S$406)+T$410</f>
        <v>4.8771378551882139</v>
      </c>
      <c r="U413" s="26">
        <f ca="1">IF(U$4=OFFSET(Choices!$B$10,0,$C$1),AVERAGE((R$413-R$410)/SUM(Q$405,Q$406),(S$413-S$410)/SUM(R$405,R$406),(T$413-T$410)/SUM(S$405,S$406)),(T$413-T$410)/SUM(S$405,S$406))*SUM(T$405,T$406)+U$410</f>
        <v>4.9446625063451872</v>
      </c>
      <c r="V413" s="26">
        <f ca="1">IF(V$4=OFFSET(Choices!$B$10,0,$C$1),AVERAGE((S$413-S$410)/SUM(R$405,R$406),(T$413-T$410)/SUM(S$405,S$406),(U$413-U$410)/SUM(T$405,T$406)),(U$413-U$410)/SUM(T$405,T$406))*SUM(U$405,U$406)+V$410</f>
        <v>5.0176293510229124</v>
      </c>
      <c r="W413" s="26">
        <f ca="1">IF(W$4=OFFSET(Choices!$B$10,0,$C$1),AVERAGE((T$413-T$410)/SUM(S$405,S$406),(U$413-U$410)/SUM(T$405,T$406),(V$413-V$410)/SUM(U$405,U$406)),(V$413-V$410)/SUM(U$405,U$406))*SUM(V$405,V$406)+W$410</f>
        <v>5.100707839261915</v>
      </c>
      <c r="X413" s="26">
        <f ca="1">IF(X$4=OFFSET(Choices!$B$10,0,$C$1),AVERAGE((U$413-U$410)/SUM(T$405,T$406),(V$413-V$410)/SUM(U$405,U$406),(W$413-W$410)/SUM(V$405,V$406)),(W$413-W$410)/SUM(V$405,V$406))*SUM(W$405,W$406)+X$410</f>
        <v>5.1891364593197133</v>
      </c>
      <c r="Y413" s="26">
        <f ca="1">IF(Y$4=OFFSET(Choices!$B$10,0,$C$1),AVERAGE((V$413-V$410)/SUM(U$405,U$406),(W$413-W$410)/SUM(V$405,V$406),(X$413-X$410)/SUM(W$405,W$406)),(X$413-X$410)/SUM(W$405,W$406))*SUM(X$405,X$406)+Y$410</f>
        <v>5.2845736165240336</v>
      </c>
      <c r="Z413" s="26">
        <f ca="1">IF(Z$4=OFFSET(Choices!$B$10,0,$C$1),AVERAGE((W$413-W$410)/SUM(V$405,V$406),(X$413-X$410)/SUM(W$405,W$406),(Y$413-Y$410)/SUM(X$405,X$406)),(Y$413-Y$410)/SUM(X$405,X$406))*SUM(Y$405,Y$406)+Z$410</f>
        <v>5.386996126366463</v>
      </c>
      <c r="AA413" s="26">
        <f ca="1">IF(AA$4=OFFSET(Choices!$B$10,0,$C$1),AVERAGE((X$413-X$410)/SUM(W$405,W$406),(Y$413-Y$410)/SUM(X$405,X$406),(Z$413-Z$410)/SUM(Y$405,Y$406)),(Z$413-Z$410)/SUM(Y$405,Y$406))*SUM(Z$405,Z$406)+AA$410</f>
        <v>5.4963704747878701</v>
      </c>
      <c r="AB413" s="26">
        <f ca="1">IF(AB$4=OFFSET(Choices!$B$10,0,$C$1),AVERAGE((Y$413-Y$410)/SUM(X$405,X$406),(Z$413-Z$410)/SUM(Y$405,Y$406),(AA$413-AA$410)/SUM(Z$405,Z$406)),(AA$413-AA$410)/SUM(Z$405,Z$406))*SUM(AA$405,AA$406)+AB$410</f>
        <v>5.6127201361541594</v>
      </c>
      <c r="AC413" s="26">
        <f ca="1">IF(AC$4=OFFSET(Choices!$B$10,0,$C$1),AVERAGE((Z$413-Z$410)/SUM(Y$405,Y$406),(AA$413-AA$410)/SUM(Z$405,Z$406),(AB$413-AB$410)/SUM(AA$405,AA$406)),(AB$413-AB$410)/SUM(AA$405,AA$406))*SUM(AB$405,AB$406)+AC$410</f>
        <v>5.736045748175937</v>
      </c>
      <c r="AD413" s="26"/>
      <c r="AE413" s="26"/>
    </row>
    <row r="414" spans="1:31" x14ac:dyDescent="0.2">
      <c r="B414" s="4"/>
      <c r="F414" s="21"/>
      <c r="G414" s="21"/>
      <c r="H414" s="21"/>
      <c r="I414" s="21"/>
      <c r="J414" s="24"/>
      <c r="K414" s="24"/>
      <c r="L414" s="24"/>
      <c r="M414" s="24"/>
      <c r="N414" s="24"/>
      <c r="O414" s="24"/>
      <c r="P414" s="24"/>
      <c r="Q414" s="24"/>
      <c r="R414" s="24"/>
      <c r="S414" s="24"/>
      <c r="T414" s="24"/>
      <c r="U414" s="24"/>
      <c r="V414" s="24"/>
      <c r="W414" s="24"/>
      <c r="X414" s="24"/>
      <c r="Y414" s="24"/>
      <c r="Z414" s="24"/>
      <c r="AA414" s="24"/>
      <c r="AB414" s="24"/>
      <c r="AC414" s="24"/>
      <c r="AD414" s="26"/>
      <c r="AE414" s="26"/>
    </row>
    <row r="415" spans="1:31" x14ac:dyDescent="0.2">
      <c r="A415" s="31" t="s">
        <v>695</v>
      </c>
      <c r="B415" s="4" t="str">
        <f>$B$46</f>
        <v>From Fiscal Forecasts</v>
      </c>
      <c r="F415" s="23">
        <f>'Fiscal Forecasts'!F$191</f>
        <v>25.048999999999999</v>
      </c>
      <c r="G415" s="23">
        <f>'Fiscal Forecasts'!G$191</f>
        <v>25.696000000000002</v>
      </c>
      <c r="H415" s="23">
        <f>'Fiscal Forecasts'!H$191</f>
        <v>27.536000000000001</v>
      </c>
      <c r="I415" s="23">
        <f>'Fiscal Forecasts'!I$191</f>
        <v>28.663</v>
      </c>
      <c r="J415" s="23">
        <f>'Fiscal Forecasts'!J$191</f>
        <v>30.093</v>
      </c>
      <c r="K415" s="23">
        <f>'Fiscal Forecasts'!K$191</f>
        <v>31.308</v>
      </c>
      <c r="L415" s="23">
        <f>'Fiscal Forecasts'!L$191</f>
        <v>32.610999999999997</v>
      </c>
      <c r="M415" s="23">
        <f>'Fiscal Forecasts'!M$191</f>
        <v>32.542999999999999</v>
      </c>
      <c r="N415" s="23">
        <f>'Fiscal Forecasts'!N$191</f>
        <v>34.883000000000003</v>
      </c>
      <c r="O415" s="25">
        <f>'Fiscal Forecasts'!O$191</f>
        <v>36.600999999999999</v>
      </c>
      <c r="P415" s="25">
        <f>'Fiscal Forecasts'!P$191</f>
        <v>38.200000000000003</v>
      </c>
      <c r="Q415" s="25">
        <f>'Fiscal Forecasts'!Q$191</f>
        <v>39.573999999999998</v>
      </c>
      <c r="R415" s="25">
        <f>'Fiscal Forecasts'!R$191</f>
        <v>41.042000000000002</v>
      </c>
      <c r="S415" s="25">
        <f>'Fiscal Forecasts'!S$191</f>
        <v>42.487000000000002</v>
      </c>
      <c r="T415" s="11">
        <f t="shared" ref="T415:AC415" ca="1" si="230">S$415+T$138-T$279</f>
        <v>43.941214549112367</v>
      </c>
      <c r="U415" s="11">
        <f t="shared" ca="1" si="230"/>
        <v>45.459895288856323</v>
      </c>
      <c r="V415" s="11">
        <f t="shared" ca="1" si="230"/>
        <v>47.046750241905968</v>
      </c>
      <c r="W415" s="11">
        <f t="shared" ca="1" si="230"/>
        <v>48.704313608322487</v>
      </c>
      <c r="X415" s="11">
        <f t="shared" ca="1" si="230"/>
        <v>50.435501544588412</v>
      </c>
      <c r="Y415" s="11">
        <f t="shared" ca="1" si="230"/>
        <v>52.242694441752185</v>
      </c>
      <c r="Z415" s="11">
        <f t="shared" ca="1" si="230"/>
        <v>54.128117915507772</v>
      </c>
      <c r="AA415" s="11">
        <f t="shared" ca="1" si="230"/>
        <v>56.094052621008025</v>
      </c>
      <c r="AB415" s="11">
        <f t="shared" ca="1" si="230"/>
        <v>58.142468317055787</v>
      </c>
      <c r="AC415" s="11">
        <f t="shared" ca="1" si="230"/>
        <v>60.275764629683984</v>
      </c>
      <c r="AD415" s="26"/>
      <c r="AE415" s="26"/>
    </row>
    <row r="416" spans="1:31" x14ac:dyDescent="0.2">
      <c r="A416" s="31" t="s">
        <v>746</v>
      </c>
      <c r="B416" s="4" t="str">
        <f>$B$46</f>
        <v>From Fiscal Forecasts</v>
      </c>
      <c r="F416" s="23">
        <f>'Fiscal Forecasts'!F$121</f>
        <v>7.0010000000000003</v>
      </c>
      <c r="G416" s="23">
        <f>'Fiscal Forecasts'!G$121</f>
        <v>8.0649999999999995</v>
      </c>
      <c r="H416" s="23">
        <f>'Fiscal Forecasts'!H$121</f>
        <v>8.7769999999999992</v>
      </c>
      <c r="I416" s="23">
        <f>'Fiscal Forecasts'!I$121</f>
        <v>9.0489999999999995</v>
      </c>
      <c r="J416" s="23">
        <f>'Fiscal Forecasts'!J$121</f>
        <v>9.3010000000000002</v>
      </c>
      <c r="K416" s="23">
        <f>'Fiscal Forecasts'!K$121</f>
        <v>9.4830000000000005</v>
      </c>
      <c r="L416" s="23">
        <f>'Fiscal Forecasts'!L$121</f>
        <v>9.593</v>
      </c>
      <c r="M416" s="23">
        <f>'Fiscal Forecasts'!M$121</f>
        <v>10.071</v>
      </c>
      <c r="N416" s="23">
        <f>'Fiscal Forecasts'!N$121</f>
        <v>11.917999999999999</v>
      </c>
      <c r="O416" s="25">
        <f>'Fiscal Forecasts'!O$121</f>
        <v>12.157</v>
      </c>
      <c r="P416" s="25">
        <f>'Fiscal Forecasts'!P$121</f>
        <v>12.41</v>
      </c>
      <c r="Q416" s="25">
        <f>'Fiscal Forecasts'!Q$121</f>
        <v>12.653</v>
      </c>
      <c r="R416" s="25">
        <f>'Fiscal Forecasts'!R$121</f>
        <v>12.952999999999999</v>
      </c>
      <c r="S416" s="25">
        <f>'Fiscal Forecasts'!S$121</f>
        <v>13.195</v>
      </c>
      <c r="T416" s="11">
        <f ca="1">((S$416-S$415)/S$11+IF(T$1&gt;0,T$1*IF(T$4=OFFSET(Choices!$B$10,0,$C$1),(SUMPRODUCT(OFFSET(S$416,0,0,1,-OFFSET(Choices!$B$59,0,$C$1)),OFFSET(S$13,0,0,1,-OFFSET(Choices!$B$59,0,$C$1)))-SUMPRODUCT(OFFSET(S$415,0,0,1,-OFFSET(Choices!$B$59,0,$C$1)),OFFSET(S$13,0,0,1,-OFFSET(Choices!$B$59,0,$C$1))))/OFFSET(Choices!$B$59,0,$C$1)-(S$416-S$415)/S$11,((S$416-S$415)/S$11-(R$416-R$415)/R$11)/S$1),0))*T$11 +T$415</f>
        <v>13.343564855415394</v>
      </c>
      <c r="U416" s="11">
        <f ca="1">((T$416-T$415)/T$11+IF(U$1&gt;0,U$1*IF(U$4=OFFSET(Choices!$B$10,0,$C$1),(SUMPRODUCT(OFFSET(T$416,0,0,1,-OFFSET(Choices!$B$59,0,$C$1)),OFFSET(T$13,0,0,1,-OFFSET(Choices!$B$59,0,$C$1)))-SUMPRODUCT(OFFSET(T$415,0,0,1,-OFFSET(Choices!$B$59,0,$C$1)),OFFSET(T$13,0,0,1,-OFFSET(Choices!$B$59,0,$C$1))))/OFFSET(Choices!$B$59,0,$C$1)-(T$416-T$415)/T$11,((T$416-T$415)/T$11-(S$416-S$415)/S$11)/T$1),0))*U$11 +U$415</f>
        <v>13.501895082717251</v>
      </c>
      <c r="V416" s="11">
        <f ca="1">((U$416-U$415)/U$11+IF(V$1&gt;0,V$1*IF(V$4=OFFSET(Choices!$B$10,0,$C$1),(SUMPRODUCT(OFFSET(U$416,0,0,1,-OFFSET(Choices!$B$59,0,$C$1)),OFFSET(U$13,0,0,1,-OFFSET(Choices!$B$59,0,$C$1)))-SUMPRODUCT(OFFSET(U$415,0,0,1,-OFFSET(Choices!$B$59,0,$C$1)),OFFSET(U$13,0,0,1,-OFFSET(Choices!$B$59,0,$C$1))))/OFFSET(Choices!$B$59,0,$C$1)-(U$416-U$415)/U$11,((U$416-U$415)/U$11-(T$416-T$415)/T$11)/U$1),0))*V$11 +V$415</f>
        <v>13.651055481545548</v>
      </c>
      <c r="W416" s="11">
        <f ca="1">((V$416-V$415)/V$11+IF(W$1&gt;0,W$1*IF(W$4=OFFSET(Choices!$B$10,0,$C$1),(SUMPRODUCT(OFFSET(V$416,0,0,1,-OFFSET(Choices!$B$59,0,$C$1)),OFFSET(V$13,0,0,1,-OFFSET(Choices!$B$59,0,$C$1)))-SUMPRODUCT(OFFSET(V$415,0,0,1,-OFFSET(Choices!$B$59,0,$C$1)),OFFSET(V$13,0,0,1,-OFFSET(Choices!$B$59,0,$C$1))))/OFFSET(Choices!$B$59,0,$C$1)-(V$416-V$415)/V$11,((V$416-V$415)/V$11-(U$416-U$415)/U$11)/V$1),0))*W$11 +W$415</f>
        <v>13.818396084029047</v>
      </c>
      <c r="X416" s="11">
        <f ca="1">((W$416-W$415)/W$11+IF(X$1&gt;0,X$1*IF(X$4=OFFSET(Choices!$B$10,0,$C$1),(SUMPRODUCT(OFFSET(W$416,0,0,1,-OFFSET(Choices!$B$59,0,$C$1)),OFFSET(W$13,0,0,1,-OFFSET(Choices!$B$59,0,$C$1)))-SUMPRODUCT(OFFSET(W$415,0,0,1,-OFFSET(Choices!$B$59,0,$C$1)),OFFSET(W$13,0,0,1,-OFFSET(Choices!$B$59,0,$C$1))))/OFFSET(Choices!$B$59,0,$C$1)-(W$416-W$415)/W$11,((W$416-W$415)/W$11-(V$416-V$415)/V$11)/W$1),0))*X$11 +X$415</f>
        <v>13.998921626123249</v>
      </c>
      <c r="Y416" s="11">
        <f ca="1">((X$416-X$415)/X$11+IF(Y$1&gt;0,Y$1*IF(Y$4=OFFSET(Choices!$B$10,0,$C$1),(SUMPRODUCT(OFFSET(X$416,0,0,1,-OFFSET(Choices!$B$59,0,$C$1)),OFFSET(X$13,0,0,1,-OFFSET(Choices!$B$59,0,$C$1)))-SUMPRODUCT(OFFSET(X$415,0,0,1,-OFFSET(Choices!$B$59,0,$C$1)),OFFSET(X$13,0,0,1,-OFFSET(Choices!$B$59,0,$C$1))))/OFFSET(Choices!$B$59,0,$C$1)-(X$416-X$415)/X$11,((X$416-X$415)/X$11-(W$416-W$415)/W$11)/X$1),0))*Y$11 +Y$415</f>
        <v>14.20642637046442</v>
      </c>
      <c r="Z416" s="11">
        <f ca="1">((Y$416-Y$415)/Y$11+IF(Z$1&gt;0,Z$1*IF(Z$4=OFFSET(Choices!$B$10,0,$C$1),(SUMPRODUCT(OFFSET(Y$416,0,0,1,-OFFSET(Choices!$B$59,0,$C$1)),OFFSET(Y$13,0,0,1,-OFFSET(Choices!$B$59,0,$C$1)))-SUMPRODUCT(OFFSET(Y$415,0,0,1,-OFFSET(Choices!$B$59,0,$C$1)),OFFSET(Y$13,0,0,1,-OFFSET(Choices!$B$59,0,$C$1))))/OFFSET(Choices!$B$59,0,$C$1)-(Y$416-Y$415)/Y$11,((Y$416-Y$415)/Y$11-(X$416-X$415)/X$11)/Y$1),0))*Z$11 +Z$415</f>
        <v>14.445318814086136</v>
      </c>
      <c r="AA416" s="11">
        <f ca="1">((Z$416-Z$415)/Z$11+IF(AA$1&gt;0,AA$1*IF(AA$4=OFFSET(Choices!$B$10,0,$C$1),(SUMPRODUCT(OFFSET(Z$416,0,0,1,-OFFSET(Choices!$B$59,0,$C$1)),OFFSET(Z$13,0,0,1,-OFFSET(Choices!$B$59,0,$C$1)))-SUMPRODUCT(OFFSET(Z$415,0,0,1,-OFFSET(Choices!$B$59,0,$C$1)),OFFSET(Z$13,0,0,1,-OFFSET(Choices!$B$59,0,$C$1))))/OFFSET(Choices!$B$59,0,$C$1)-(Z$416-Z$415)/Z$11,((Z$416-Z$415)/Z$11-(Y$416-Y$415)/Y$11)/Z$1),0))*AA$11 +AA$415</f>
        <v>14.71672118814795</v>
      </c>
      <c r="AB416" s="11">
        <f ca="1">((AA$416-AA$415)/AA$11+IF(AB$1&gt;0,AB$1*IF(AB$4=OFFSET(Choices!$B$10,0,$C$1),(SUMPRODUCT(OFFSET(AA$416,0,0,1,-OFFSET(Choices!$B$59,0,$C$1)),OFFSET(AA$13,0,0,1,-OFFSET(Choices!$B$59,0,$C$1)))-SUMPRODUCT(OFFSET(AA$415,0,0,1,-OFFSET(Choices!$B$59,0,$C$1)),OFFSET(AA$13,0,0,1,-OFFSET(Choices!$B$59,0,$C$1))))/OFFSET(Choices!$B$59,0,$C$1)-(AA$416-AA$415)/AA$11,((AA$416-AA$415)/AA$11-(Z$416-Z$415)/Z$11)/AA$1),0))*AB$11 +AB$415</f>
        <v>15.029146734957095</v>
      </c>
      <c r="AC416" s="11">
        <f ca="1">((AB$416-AB$415)/AB$11+IF(AC$1&gt;0,AC$1*IF(AC$4=OFFSET(Choices!$B$10,0,$C$1),(SUMPRODUCT(OFFSET(AB$416,0,0,1,-OFFSET(Choices!$B$59,0,$C$1)),OFFSET(AB$13,0,0,1,-OFFSET(Choices!$B$59,0,$C$1)))-SUMPRODUCT(OFFSET(AB$415,0,0,1,-OFFSET(Choices!$B$59,0,$C$1)),OFFSET(AB$13,0,0,1,-OFFSET(Choices!$B$59,0,$C$1))))/OFFSET(Choices!$B$59,0,$C$1)-(AB$416-AB$415)/AB$11,((AB$416-AB$415)/AB$11-(AA$416-AA$415)/AA$11)/AB$1),0))*AC$11 +AC$415</f>
        <v>15.375947598551392</v>
      </c>
      <c r="AD416" s="26"/>
      <c r="AE416" s="26"/>
    </row>
    <row r="417" spans="1:31" x14ac:dyDescent="0.2">
      <c r="A417" s="31"/>
      <c r="G417" s="89"/>
      <c r="H417" s="89"/>
      <c r="I417" s="89"/>
      <c r="J417" s="89"/>
      <c r="K417" s="89"/>
      <c r="L417" s="89"/>
      <c r="M417" s="89"/>
      <c r="N417" s="89"/>
      <c r="O417" s="89"/>
      <c r="P417" s="89"/>
      <c r="Q417" s="89"/>
      <c r="R417" s="89"/>
      <c r="S417" s="26"/>
      <c r="T417" s="89"/>
      <c r="U417" s="89"/>
      <c r="V417" s="89"/>
      <c r="W417" s="89"/>
      <c r="X417" s="89"/>
      <c r="Y417" s="89"/>
      <c r="Z417" s="89"/>
      <c r="AA417" s="89"/>
      <c r="AB417" s="89"/>
      <c r="AC417" s="89"/>
      <c r="AD417" s="26"/>
      <c r="AE417" s="26"/>
    </row>
    <row r="418" spans="1:31" x14ac:dyDescent="0.2">
      <c r="A418" s="31" t="s">
        <v>311</v>
      </c>
      <c r="F418" s="26"/>
      <c r="G418" s="26"/>
      <c r="H418" s="26"/>
      <c r="I418" s="26"/>
      <c r="J418" s="26"/>
      <c r="K418" s="26"/>
      <c r="L418" s="26"/>
      <c r="M418" s="26"/>
      <c r="N418" s="26"/>
      <c r="O418" s="26"/>
      <c r="P418" s="26"/>
      <c r="Q418" s="26"/>
      <c r="R418" s="26"/>
      <c r="S418" s="26"/>
      <c r="T418" s="26"/>
      <c r="U418" s="26"/>
      <c r="V418" s="26"/>
      <c r="W418" s="26"/>
      <c r="X418" s="26"/>
      <c r="Y418" s="26"/>
      <c r="Z418" s="26"/>
      <c r="AA418" s="26"/>
      <c r="AB418" s="26"/>
      <c r="AC418" s="26"/>
      <c r="AD418" s="26"/>
      <c r="AE418" s="26"/>
    </row>
    <row r="419" spans="1:31" x14ac:dyDescent="0.2">
      <c r="A419" s="3" t="s">
        <v>412</v>
      </c>
      <c r="B419" s="4" t="str">
        <f>$B$46</f>
        <v>From Fiscal Forecasts</v>
      </c>
      <c r="F419" s="21">
        <f>'Fiscal Forecasts'!F$362</f>
        <v>0.80400000000000005</v>
      </c>
      <c r="G419" s="21">
        <f>'Fiscal Forecasts'!G$362</f>
        <v>0.84499999999999997</v>
      </c>
      <c r="H419" s="21">
        <f>'Fiscal Forecasts'!H$362</f>
        <v>1.135</v>
      </c>
      <c r="I419" s="21">
        <f>'Fiscal Forecasts'!I$362</f>
        <v>1.1220000000000001</v>
      </c>
      <c r="J419" s="21">
        <f>'Fiscal Forecasts'!J$362</f>
        <v>1.157</v>
      </c>
      <c r="K419" s="21">
        <f>'Fiscal Forecasts'!K$362</f>
        <v>1.1120000000000001</v>
      </c>
      <c r="L419" s="21">
        <f>'Fiscal Forecasts'!L$362</f>
        <v>1.0409999999999999</v>
      </c>
      <c r="M419" s="21">
        <f>'Fiscal Forecasts'!M$362</f>
        <v>1.1839999999999999</v>
      </c>
      <c r="N419" s="21">
        <f>'Fiscal Forecasts'!N$362</f>
        <v>1.2390000000000001</v>
      </c>
      <c r="O419" s="24">
        <f>'Fiscal Forecasts'!O$362</f>
        <v>1.46</v>
      </c>
      <c r="P419" s="24">
        <f>'Fiscal Forecasts'!P$362</f>
        <v>1.5549999999999999</v>
      </c>
      <c r="Q419" s="24">
        <f>'Fiscal Forecasts'!Q$362</f>
        <v>1.5509999999999999</v>
      </c>
      <c r="R419" s="24">
        <f>'Fiscal Forecasts'!R$362</f>
        <v>1.5549999999999999</v>
      </c>
      <c r="S419" s="24">
        <f>'Fiscal Forecasts'!S$362</f>
        <v>1.546</v>
      </c>
      <c r="T419" s="26">
        <f ca="1">(S$419/S$11+IF(T$1&gt;0,T$1*IF(T$4=OFFSET(Choices!$B$10,0,$C$1),SUMPRODUCT(OFFSET(S$419,0,0,1,-OFFSET(Choices!$B$59,0,$C$1)),OFFSET(S$13,0,0,1,-OFFSET(Choices!$B$59,0,$C$1)))/OFFSET(Choices!$B$59,0,$C$1)-S$419/S$11,(S$419/S$11-R$419/R$11)/S$1),0))*T$11</f>
        <v>1.6401584906678952</v>
      </c>
      <c r="U419" s="26">
        <f ca="1">(T$419/T$11+IF(U$1&gt;0,U$1*IF(U$4=OFFSET(Choices!$B$10,0,$C$1),SUMPRODUCT(OFFSET(T$419,0,0,1,-OFFSET(Choices!$B$59,0,$C$1)),OFFSET(T$13,0,0,1,-OFFSET(Choices!$B$59,0,$C$1)))/OFFSET(Choices!$B$59,0,$C$1)-T$419/T$11,(T$419/T$11-S$419/S$11)/T$1),0))*U$11</f>
        <v>1.7341691312167637</v>
      </c>
      <c r="V419" s="26">
        <f ca="1">(U$419/U$11+IF(V$1&gt;0,V$1*IF(V$4=OFFSET(Choices!$B$10,0,$C$1),SUMPRODUCT(OFFSET(U$419,0,0,1,-OFFSET(Choices!$B$59,0,$C$1)),OFFSET(U$13,0,0,1,-OFFSET(Choices!$B$59,0,$C$1)))/OFFSET(Choices!$B$59,0,$C$1)-U$419/U$11,(U$419/U$11-T$419/T$11)/U$1),0))*V$11</f>
        <v>1.8287099653828178</v>
      </c>
      <c r="W419" s="26">
        <f ca="1">(V$419/V$11+IF(W$1&gt;0,W$1*IF(W$4=OFFSET(Choices!$B$10,0,$C$1),SUMPRODUCT(OFFSET(V$419,0,0,1,-OFFSET(Choices!$B$59,0,$C$1)),OFFSET(V$13,0,0,1,-OFFSET(Choices!$B$59,0,$C$1)))/OFFSET(Choices!$B$59,0,$C$1)-V$419/V$11,(V$419/V$11-U$419/U$11)/V$1),0))*W$11</f>
        <v>1.9218198831630751</v>
      </c>
      <c r="X419" s="26">
        <f ca="1">(W$419/W$11+IF(X$1&gt;0,X$1*IF(X$4=OFFSET(Choices!$B$10,0,$C$1),SUMPRODUCT(OFFSET(W$419,0,0,1,-OFFSET(Choices!$B$59,0,$C$1)),OFFSET(W$13,0,0,1,-OFFSET(Choices!$B$59,0,$C$1)))/OFFSET(Choices!$B$59,0,$C$1)-W$419/W$11,(W$419/W$11-V$419/V$11)/W$1),0))*X$11</f>
        <v>2.0132525595917601</v>
      </c>
      <c r="Y419" s="26">
        <f ca="1">(X$419/X$11+IF(Y$1&gt;0,Y$1*IF(Y$4=OFFSET(Choices!$B$10,0,$C$1),SUMPRODUCT(OFFSET(X$419,0,0,1,-OFFSET(Choices!$B$59,0,$C$1)),OFFSET(X$13,0,0,1,-OFFSET(Choices!$B$59,0,$C$1)))/OFFSET(Choices!$B$59,0,$C$1)-X$419/X$11,(X$419/X$11-W$419/W$11)/X$1),0))*Y$11</f>
        <v>2.1016411041649739</v>
      </c>
      <c r="Z419" s="26">
        <f ca="1">(Y$419/Y$11+IF(Z$1&gt;0,Z$1*IF(Z$4=OFFSET(Choices!$B$10,0,$C$1),SUMPRODUCT(OFFSET(Y$419,0,0,1,-OFFSET(Choices!$B$59,0,$C$1)),OFFSET(Y$13,0,0,1,-OFFSET(Choices!$B$59,0,$C$1)))/OFFSET(Choices!$B$59,0,$C$1)-Y$419/Y$11,(Y$419/Y$11-X$419/X$11)/Y$1),0))*Z$11</f>
        <v>2.1926178867906225</v>
      </c>
      <c r="AA419" s="26">
        <f ca="1">(Z$419/Z$11+IF(AA$1&gt;0,AA$1*IF(AA$4=OFFSET(Choices!$B$10,0,$C$1),SUMPRODUCT(OFFSET(Z$419,0,0,1,-OFFSET(Choices!$B$59,0,$C$1)),OFFSET(Z$13,0,0,1,-OFFSET(Choices!$B$59,0,$C$1)))/OFFSET(Choices!$B$59,0,$C$1)-Z$419/Z$11,(Z$419/Z$11-Y$419/Y$11)/Z$1),0))*AA$11</f>
        <v>2.2862469145757069</v>
      </c>
      <c r="AB419" s="26">
        <f ca="1">(AA$419/AA$11+IF(AB$1&gt;0,AB$1*IF(AB$4=OFFSET(Choices!$B$10,0,$C$1),SUMPRODUCT(OFFSET(AA$419,0,0,1,-OFFSET(Choices!$B$59,0,$C$1)),OFFSET(AA$13,0,0,1,-OFFSET(Choices!$B$59,0,$C$1)))/OFFSET(Choices!$B$59,0,$C$1)-AA$419/AA$11,(AA$419/AA$11-Z$419/Z$11)/AA$1),0))*AB$11</f>
        <v>2.3821666364376797</v>
      </c>
      <c r="AC419" s="26">
        <f ca="1">(AB$419/AB$11+IF(AC$1&gt;0,AC$1*IF(AC$4=OFFSET(Choices!$B$10,0,$C$1),SUMPRODUCT(OFFSET(AB$419,0,0,1,-OFFSET(Choices!$B$59,0,$C$1)),OFFSET(AB$13,0,0,1,-OFFSET(Choices!$B$59,0,$C$1)))/OFFSET(Choices!$B$59,0,$C$1)-AB$419/AB$11,(AB$419/AB$11-AA$419/AA$11)/AB$1),0))*AC$11</f>
        <v>2.4808769584139703</v>
      </c>
      <c r="AD419" s="26"/>
      <c r="AE419" s="26"/>
    </row>
    <row r="420" spans="1:31" x14ac:dyDescent="0.2">
      <c r="A420" s="3" t="s">
        <v>413</v>
      </c>
      <c r="B420" s="4" t="str">
        <f>$B$46</f>
        <v>From Fiscal Forecasts</v>
      </c>
      <c r="F420" s="21">
        <f>'Fiscal Forecasts'!F$363</f>
        <v>0.377</v>
      </c>
      <c r="G420" s="21">
        <f>'Fiscal Forecasts'!G$363</f>
        <v>0.38600000000000001</v>
      </c>
      <c r="H420" s="21">
        <f>'Fiscal Forecasts'!H$363</f>
        <v>0.42499999999999999</v>
      </c>
      <c r="I420" s="21">
        <f>'Fiscal Forecasts'!I$363</f>
        <v>0.41699999999999998</v>
      </c>
      <c r="J420" s="21">
        <f>'Fiscal Forecasts'!J$363</f>
        <v>0.43</v>
      </c>
      <c r="K420" s="21">
        <f>'Fiscal Forecasts'!K$363</f>
        <v>0.49399999999999999</v>
      </c>
      <c r="L420" s="21">
        <f>'Fiscal Forecasts'!L$363</f>
        <v>0.57299999999999995</v>
      </c>
      <c r="M420" s="21">
        <f>'Fiscal Forecasts'!M$363</f>
        <v>0.54200000000000004</v>
      </c>
      <c r="N420" s="21">
        <f>'Fiscal Forecasts'!N$363</f>
        <v>0.60699999999999998</v>
      </c>
      <c r="O420" s="24">
        <f>'Fiscal Forecasts'!O$363</f>
        <v>0.65700000000000003</v>
      </c>
      <c r="P420" s="24">
        <f>'Fiscal Forecasts'!P$363</f>
        <v>0.72199999999999998</v>
      </c>
      <c r="Q420" s="24">
        <f>'Fiscal Forecasts'!Q$363</f>
        <v>0.73399999999999999</v>
      </c>
      <c r="R420" s="24">
        <f>'Fiscal Forecasts'!R$363</f>
        <v>0.71899999999999997</v>
      </c>
      <c r="S420" s="24">
        <f>'Fiscal Forecasts'!S$363</f>
        <v>0.68200000000000005</v>
      </c>
      <c r="T420" s="26">
        <f ca="1">(S$420/S$11+IF(T$1&gt;0,T$1*IF(T$4=OFFSET(Choices!$B$10,0,$C$1),SUMPRODUCT(OFFSET(S$420,0,0,1,-OFFSET(Choices!$B$59,0,$C$1)),OFFSET(S$13,0,0,1,-OFFSET(Choices!$B$59,0,$C$1)))/OFFSET(Choices!$B$59,0,$C$1)-S$420/S$11,(S$420/S$11-R$420/R$11)/S$1),0))*T$11</f>
        <v>0.73383608724869109</v>
      </c>
      <c r="U420" s="26">
        <f ca="1">(T$420/T$11+IF(U$1&gt;0,U$1*IF(U$4=OFFSET(Choices!$B$10,0,$C$1),SUMPRODUCT(OFFSET(T$420,0,0,1,-OFFSET(Choices!$B$59,0,$C$1)),OFFSET(T$13,0,0,1,-OFFSET(Choices!$B$59,0,$C$1)))/OFFSET(Choices!$B$59,0,$C$1)-T$420/T$11,(T$420/T$11-S$420/S$11)/T$1),0))*U$11</f>
        <v>0.7843689423476522</v>
      </c>
      <c r="V420" s="26">
        <f ca="1">(U$420/U$11+IF(V$1&gt;0,V$1*IF(V$4=OFFSET(Choices!$B$10,0,$C$1),SUMPRODUCT(OFFSET(U$420,0,0,1,-OFFSET(Choices!$B$59,0,$C$1)),OFFSET(U$13,0,0,1,-OFFSET(Choices!$B$59,0,$C$1)))/OFFSET(Choices!$B$59,0,$C$1)-U$420/U$11,(U$420/U$11-T$420/T$11)/U$1),0))*V$11</f>
        <v>0.83368676278901976</v>
      </c>
      <c r="W420" s="26">
        <f ca="1">(V$420/V$11+IF(W$1&gt;0,W$1*IF(W$4=OFFSET(Choices!$B$10,0,$C$1),SUMPRODUCT(OFFSET(V$420,0,0,1,-OFFSET(Choices!$B$59,0,$C$1)),OFFSET(V$13,0,0,1,-OFFSET(Choices!$B$59,0,$C$1)))/OFFSET(Choices!$B$59,0,$C$1)-V$420/V$11,(V$420/V$11-U$420/U$11)/V$1),0))*W$11</f>
        <v>0.88065872306593795</v>
      </c>
      <c r="X420" s="26">
        <f ca="1">(W$420/W$11+IF(X$1&gt;0,X$1*IF(X$4=OFFSET(Choices!$B$10,0,$C$1),SUMPRODUCT(OFFSET(W$420,0,0,1,-OFFSET(Choices!$B$59,0,$C$1)),OFFSET(W$13,0,0,1,-OFFSET(Choices!$B$59,0,$C$1)))/OFFSET(Choices!$B$59,0,$C$1)-W$420/W$11,(W$420/W$11-V$420/V$11)/W$1),0))*X$11</f>
        <v>0.9249053464442567</v>
      </c>
      <c r="Y420" s="26">
        <f ca="1">(X$420/X$11+IF(Y$1&gt;0,Y$1*IF(Y$4=OFFSET(Choices!$B$10,0,$C$1),SUMPRODUCT(OFFSET(X$420,0,0,1,-OFFSET(Choices!$B$59,0,$C$1)),OFFSET(X$13,0,0,1,-OFFSET(Choices!$B$59,0,$C$1)))/OFFSET(Choices!$B$59,0,$C$1)-X$420/X$11,(X$420/X$11-W$420/W$11)/X$1),0))*Y$11</f>
        <v>0.96551179547158039</v>
      </c>
      <c r="Z420" s="26">
        <f ca="1">(Y$420/Y$11+IF(Z$1&gt;0,Z$1*IF(Z$4=OFFSET(Choices!$B$10,0,$C$1),SUMPRODUCT(OFFSET(Y$420,0,0,1,-OFFSET(Choices!$B$59,0,$C$1)),OFFSET(Y$13,0,0,1,-OFFSET(Choices!$B$59,0,$C$1)))/OFFSET(Choices!$B$59,0,$C$1)-Y$420/Y$11,(Y$420/Y$11-X$420/X$11)/Y$1),0))*Z$11</f>
        <v>1.0073073030703994</v>
      </c>
      <c r="AA420" s="26">
        <f ca="1">(Z$420/Z$11+IF(AA$1&gt;0,AA$1*IF(AA$4=OFFSET(Choices!$B$10,0,$C$1),SUMPRODUCT(OFFSET(Z$420,0,0,1,-OFFSET(Choices!$B$59,0,$C$1)),OFFSET(Z$13,0,0,1,-OFFSET(Choices!$B$59,0,$C$1)))/OFFSET(Choices!$B$59,0,$C$1)-Z$420/Z$11,(Z$420/Z$11-Y$420/Y$11)/Z$1),0))*AA$11</f>
        <v>1.0503212746499824</v>
      </c>
      <c r="AB420" s="26">
        <f ca="1">(AA$420/AA$11+IF(AB$1&gt;0,AB$1*IF(AB$4=OFFSET(Choices!$B$10,0,$C$1),SUMPRODUCT(OFFSET(AA$420,0,0,1,-OFFSET(Choices!$B$59,0,$C$1)),OFFSET(AA$13,0,0,1,-OFFSET(Choices!$B$59,0,$C$1)))/OFFSET(Choices!$B$59,0,$C$1)-AA$420/AA$11,(AA$420/AA$11-Z$420/Z$11)/AA$1),0))*AB$11</f>
        <v>1.0943876105684001</v>
      </c>
      <c r="AC420" s="26">
        <f ca="1">(AB$420/AB$11+IF(AC$1&gt;0,AC$1*IF(AC$4=OFFSET(Choices!$B$10,0,$C$1),SUMPRODUCT(OFFSET(AB$420,0,0,1,-OFFSET(Choices!$B$59,0,$C$1)),OFFSET(AB$13,0,0,1,-OFFSET(Choices!$B$59,0,$C$1)))/OFFSET(Choices!$B$59,0,$C$1)-AB$420/AB$11,(AB$420/AB$11-AA$420/AA$11)/AB$1),0))*AC$11</f>
        <v>1.1397359719104156</v>
      </c>
      <c r="AD420" s="26"/>
      <c r="AE420" s="26"/>
    </row>
    <row r="421" spans="1:31" x14ac:dyDescent="0.2">
      <c r="A421" s="3" t="s">
        <v>414</v>
      </c>
      <c r="B421" s="4" t="str">
        <f>$B$46</f>
        <v>From Fiscal Forecasts</v>
      </c>
      <c r="F421" s="21">
        <f>SUM('Fiscal Forecasts'!F$364:F$365)</f>
        <v>0.496</v>
      </c>
      <c r="G421" s="21">
        <f>SUM('Fiscal Forecasts'!G$364:G$365)</f>
        <v>0.52</v>
      </c>
      <c r="H421" s="21">
        <f>SUM('Fiscal Forecasts'!H$364:H$365)</f>
        <v>0.60799999999999998</v>
      </c>
      <c r="I421" s="21">
        <f>SUM('Fiscal Forecasts'!I$364:I$365)</f>
        <v>0.64500000000000002</v>
      </c>
      <c r="J421" s="21">
        <f>SUM('Fiscal Forecasts'!J$364:J$365)</f>
        <v>0.80700000000000005</v>
      </c>
      <c r="K421" s="21">
        <f>SUM('Fiscal Forecasts'!K$364:K$365)</f>
        <v>1.099</v>
      </c>
      <c r="L421" s="21">
        <f>SUM('Fiscal Forecasts'!L$364:L$365)</f>
        <v>1.1619999999999999</v>
      </c>
      <c r="M421" s="21">
        <f>SUM('Fiscal Forecasts'!M$364:M$365)</f>
        <v>1.194</v>
      </c>
      <c r="N421" s="21">
        <f>SUM('Fiscal Forecasts'!N$364:N$365)</f>
        <v>1.21</v>
      </c>
      <c r="O421" s="24">
        <f>SUM('Fiscal Forecasts'!O$364:O$365)</f>
        <v>1.2749999999999999</v>
      </c>
      <c r="P421" s="24">
        <f>SUM('Fiscal Forecasts'!P$364:P$365)</f>
        <v>1.288</v>
      </c>
      <c r="Q421" s="24">
        <f>SUM('Fiscal Forecasts'!Q$364:Q$365)</f>
        <v>1.2649999999999999</v>
      </c>
      <c r="R421" s="24">
        <f>SUM('Fiscal Forecasts'!R$364:R$365)</f>
        <v>1.2609999999999999</v>
      </c>
      <c r="S421" s="24">
        <f>SUM('Fiscal Forecasts'!S$364:S$365)</f>
        <v>1.2629999999999999</v>
      </c>
      <c r="T421" s="26">
        <f ca="1">(S$421/S$11+IF(T$1&gt;0,T$1*IF(T$4=OFFSET(Choices!$B$10,0,$C$1),SUMPRODUCT(OFFSET(S$421,0,0,1,-OFFSET(Choices!$B$59,0,$C$1)),OFFSET(S$13,0,0,1,-OFFSET(Choices!$B$59,0,$C$1)))/OFFSET(Choices!$B$59,0,$C$1)-S$421/S$11,(S$421/S$11-R$421/R$11)/S$1),0))*T$11</f>
        <v>1.3385293569441772</v>
      </c>
      <c r="U421" s="26">
        <f ca="1">(T$421/T$11+IF(U$1&gt;0,U$1*IF(U$4=OFFSET(Choices!$B$10,0,$C$1),SUMPRODUCT(OFFSET(T$421,0,0,1,-OFFSET(Choices!$B$59,0,$C$1)),OFFSET(T$13,0,0,1,-OFFSET(Choices!$B$59,0,$C$1)))/OFFSET(Choices!$B$59,0,$C$1)-T$421/T$11,(T$421/T$11-S$421/S$11)/T$1),0))*U$11</f>
        <v>1.4141053899772973</v>
      </c>
      <c r="V421" s="26">
        <f ca="1">(U$421/U$11+IF(V$1&gt;0,V$1*IF(V$4=OFFSET(Choices!$B$10,0,$C$1),SUMPRODUCT(OFFSET(U$421,0,0,1,-OFFSET(Choices!$B$59,0,$C$1)),OFFSET(U$13,0,0,1,-OFFSET(Choices!$B$59,0,$C$1)))/OFFSET(Choices!$B$59,0,$C$1)-U$421/U$11,(U$421/U$11-T$421/T$11)/U$1),0))*V$11</f>
        <v>1.490310554512472</v>
      </c>
      <c r="W421" s="26">
        <f ca="1">(V$421/V$11+IF(W$1&gt;0,W$1*IF(W$4=OFFSET(Choices!$B$10,0,$C$1),SUMPRODUCT(OFFSET(V$421,0,0,1,-OFFSET(Choices!$B$59,0,$C$1)),OFFSET(V$13,0,0,1,-OFFSET(Choices!$B$59,0,$C$1)))/OFFSET(Choices!$B$59,0,$C$1)-V$421/V$11,(V$421/V$11-U$421/U$11)/V$1),0))*W$11</f>
        <v>1.5655786687340378</v>
      </c>
      <c r="X421" s="26">
        <f ca="1">(W$421/W$11+IF(X$1&gt;0,X$1*IF(X$4=OFFSET(Choices!$B$10,0,$C$1),SUMPRODUCT(OFFSET(W$421,0,0,1,-OFFSET(Choices!$B$59,0,$C$1)),OFFSET(W$13,0,0,1,-OFFSET(Choices!$B$59,0,$C$1)))/OFFSET(Choices!$B$59,0,$C$1)-W$421/W$11,(W$421/W$11-V$421/V$11)/W$1),0))*X$11</f>
        <v>1.6397451303000423</v>
      </c>
      <c r="Y421" s="26">
        <f ca="1">(X$421/X$11+IF(Y$1&gt;0,Y$1*IF(Y$4=OFFSET(Choices!$B$10,0,$C$1),SUMPRODUCT(OFFSET(X$421,0,0,1,-OFFSET(Choices!$B$59,0,$C$1)),OFFSET(X$13,0,0,1,-OFFSET(Choices!$B$59,0,$C$1)))/OFFSET(Choices!$B$59,0,$C$1)-X$421/X$11,(X$421/X$11-W$421/W$11)/X$1),0))*Y$11</f>
        <v>1.7117354451006972</v>
      </c>
      <c r="Z421" s="26">
        <f ca="1">(Y$421/Y$11+IF(Z$1&gt;0,Z$1*IF(Z$4=OFFSET(Choices!$B$10,0,$C$1),SUMPRODUCT(OFFSET(Y$421,0,0,1,-OFFSET(Choices!$B$59,0,$C$1)),OFFSET(Y$13,0,0,1,-OFFSET(Choices!$B$59,0,$C$1)))/OFFSET(Choices!$B$59,0,$C$1)-Y$421/Y$11,(Y$421/Y$11-X$421/X$11)/Y$1),0))*Z$11</f>
        <v>1.7858338166984575</v>
      </c>
      <c r="AA421" s="26">
        <f ca="1">(Z$421/Z$11+IF(AA$1&gt;0,AA$1*IF(AA$4=OFFSET(Choices!$B$10,0,$C$1),SUMPRODUCT(OFFSET(Z$421,0,0,1,-OFFSET(Choices!$B$59,0,$C$1)),OFFSET(Z$13,0,0,1,-OFFSET(Choices!$B$59,0,$C$1)))/OFFSET(Choices!$B$59,0,$C$1)-Z$421/Z$11,(Z$421/Z$11-Y$421/Y$11)/Z$1),0))*AA$11</f>
        <v>1.8620923773215976</v>
      </c>
      <c r="AB421" s="26">
        <f ca="1">(AA$421/AA$11+IF(AB$1&gt;0,AB$1*IF(AB$4=OFFSET(Choices!$B$10,0,$C$1),SUMPRODUCT(OFFSET(AA$421,0,0,1,-OFFSET(Choices!$B$59,0,$C$1)),OFFSET(AA$13,0,0,1,-OFFSET(Choices!$B$59,0,$C$1)))/OFFSET(Choices!$B$59,0,$C$1)-AA$421/AA$11,(AA$421/AA$11-Z$421/Z$11)/AA$1),0))*AB$11</f>
        <v>1.9402166524273488</v>
      </c>
      <c r="AC421" s="26">
        <f ca="1">(AB$421/AB$11+IF(AC$1&gt;0,AC$1*IF(AC$4=OFFSET(Choices!$B$10,0,$C$1),SUMPRODUCT(OFFSET(AB$421,0,0,1,-OFFSET(Choices!$B$59,0,$C$1)),OFFSET(AB$13,0,0,1,-OFFSET(Choices!$B$59,0,$C$1)))/OFFSET(Choices!$B$59,0,$C$1)-AB$421/AB$11,(AB$421/AB$11-AA$421/AA$11)/AB$1),0))*AC$11</f>
        <v>2.020613803296385</v>
      </c>
      <c r="AD421" s="26"/>
      <c r="AE421" s="26"/>
    </row>
    <row r="422" spans="1:31" x14ac:dyDescent="0.2">
      <c r="A422" s="31" t="s">
        <v>744</v>
      </c>
      <c r="F422" s="56">
        <f>SUM(F$419:F$421)</f>
        <v>1.677</v>
      </c>
      <c r="G422" s="56">
        <f t="shared" ref="G422:AC422" si="231">SUM(G$419:G$421)</f>
        <v>1.7509999999999999</v>
      </c>
      <c r="H422" s="56">
        <f t="shared" si="231"/>
        <v>2.1680000000000001</v>
      </c>
      <c r="I422" s="56">
        <f t="shared" si="231"/>
        <v>2.1840000000000002</v>
      </c>
      <c r="J422" s="56">
        <f t="shared" si="231"/>
        <v>2.3940000000000001</v>
      </c>
      <c r="K422" s="56">
        <f t="shared" si="231"/>
        <v>2.7050000000000001</v>
      </c>
      <c r="L422" s="56">
        <f t="shared" si="231"/>
        <v>2.7759999999999998</v>
      </c>
      <c r="M422" s="56">
        <f t="shared" si="231"/>
        <v>2.92</v>
      </c>
      <c r="N422" s="56">
        <f t="shared" si="231"/>
        <v>3.056</v>
      </c>
      <c r="O422" s="57">
        <f t="shared" si="231"/>
        <v>3.3919999999999999</v>
      </c>
      <c r="P422" s="57">
        <f t="shared" si="231"/>
        <v>3.5650000000000004</v>
      </c>
      <c r="Q422" s="57">
        <f t="shared" si="231"/>
        <v>3.55</v>
      </c>
      <c r="R422" s="57">
        <f t="shared" si="231"/>
        <v>3.5350000000000001</v>
      </c>
      <c r="S422" s="57">
        <f t="shared" si="231"/>
        <v>3.4910000000000001</v>
      </c>
      <c r="T422" s="58">
        <f t="shared" ca="1" si="231"/>
        <v>3.7125239348607635</v>
      </c>
      <c r="U422" s="58">
        <f t="shared" ca="1" si="231"/>
        <v>3.9326434635417131</v>
      </c>
      <c r="V422" s="58">
        <f t="shared" ca="1" si="231"/>
        <v>4.1527072826843092</v>
      </c>
      <c r="W422" s="58">
        <f t="shared" ca="1" si="231"/>
        <v>4.3680572749630509</v>
      </c>
      <c r="X422" s="58">
        <f t="shared" ca="1" si="231"/>
        <v>4.5779030363360587</v>
      </c>
      <c r="Y422" s="58">
        <f t="shared" ca="1" si="231"/>
        <v>4.7788883447372514</v>
      </c>
      <c r="Z422" s="58">
        <f t="shared" ca="1" si="231"/>
        <v>4.9857590065594799</v>
      </c>
      <c r="AA422" s="58">
        <f t="shared" ca="1" si="231"/>
        <v>5.1986605665472867</v>
      </c>
      <c r="AB422" s="58">
        <f t="shared" ca="1" si="231"/>
        <v>5.4167708994334287</v>
      </c>
      <c r="AC422" s="58">
        <f t="shared" ca="1" si="231"/>
        <v>5.6412267336207709</v>
      </c>
      <c r="AD422" s="26"/>
      <c r="AE422" s="26"/>
    </row>
    <row r="423" spans="1:31" x14ac:dyDescent="0.2">
      <c r="A423" s="31"/>
      <c r="AD423" s="26"/>
      <c r="AE423" s="26"/>
    </row>
    <row r="424" spans="1:31" x14ac:dyDescent="0.2">
      <c r="A424" s="31" t="s">
        <v>316</v>
      </c>
      <c r="B424" s="4" t="str">
        <f>$B$46</f>
        <v>From Fiscal Forecasts</v>
      </c>
      <c r="F424" s="23">
        <f>'Fiscal Forecasts'!F$126</f>
        <v>3.444</v>
      </c>
      <c r="G424" s="23">
        <f>'Fiscal Forecasts'!G$126</f>
        <v>3.53</v>
      </c>
      <c r="H424" s="23">
        <f>'Fiscal Forecasts'!H$126</f>
        <v>4.0049999999999999</v>
      </c>
      <c r="I424" s="23">
        <f>'Fiscal Forecasts'!I$126</f>
        <v>4.0199999999999996</v>
      </c>
      <c r="J424" s="23">
        <f>'Fiscal Forecasts'!J$126</f>
        <v>4.2539999999999996</v>
      </c>
      <c r="K424" s="23">
        <f>'Fiscal Forecasts'!K$126</f>
        <v>4.4569999999999999</v>
      </c>
      <c r="L424" s="23">
        <f>'Fiscal Forecasts'!L$126</f>
        <v>4.6909999999999998</v>
      </c>
      <c r="M424" s="23">
        <f>'Fiscal Forecasts'!M$126</f>
        <v>4.9640000000000004</v>
      </c>
      <c r="N424" s="23">
        <f>'Fiscal Forecasts'!N$126</f>
        <v>5.3360000000000003</v>
      </c>
      <c r="O424" s="25">
        <f>'Fiscal Forecasts'!O$126</f>
        <v>5.56</v>
      </c>
      <c r="P424" s="25">
        <f>'Fiscal Forecasts'!P$126</f>
        <v>5.7229999999999999</v>
      </c>
      <c r="Q424" s="25">
        <f>'Fiscal Forecasts'!Q$126</f>
        <v>5.8929999999999998</v>
      </c>
      <c r="R424" s="25">
        <f>'Fiscal Forecasts'!R$126</f>
        <v>6.0670000000000002</v>
      </c>
      <c r="S424" s="25">
        <f>'Fiscal Forecasts'!S$126</f>
        <v>6.2469999999999999</v>
      </c>
      <c r="T424" s="11">
        <f t="shared" ref="T424:AC424" ca="1" si="232">S$424*T$11/S$11</f>
        <v>6.5244458394455815</v>
      </c>
      <c r="U424" s="11">
        <f t="shared" ca="1" si="232"/>
        <v>6.8136783804814876</v>
      </c>
      <c r="V424" s="11">
        <f t="shared" ca="1" si="232"/>
        <v>7.1195472515028086</v>
      </c>
      <c r="W424" s="11">
        <f t="shared" ca="1" si="232"/>
        <v>7.4367860067380045</v>
      </c>
      <c r="X424" s="11">
        <f t="shared" ca="1" si="232"/>
        <v>7.7671083231583351</v>
      </c>
      <c r="Y424" s="11">
        <f t="shared" ca="1" si="232"/>
        <v>8.1081104477828134</v>
      </c>
      <c r="Z424" s="11">
        <f t="shared" ca="1" si="232"/>
        <v>8.4590979690350547</v>
      </c>
      <c r="AA424" s="11">
        <f t="shared" ca="1" si="232"/>
        <v>8.8203178256963675</v>
      </c>
      <c r="AB424" s="11">
        <f t="shared" ca="1" si="232"/>
        <v>9.1903751572912835</v>
      </c>
      <c r="AC424" s="11">
        <f t="shared" ca="1" si="232"/>
        <v>9.571198596333204</v>
      </c>
      <c r="AD424" s="26"/>
      <c r="AE424" s="26"/>
    </row>
    <row r="425" spans="1:31" x14ac:dyDescent="0.2">
      <c r="A425" s="31"/>
      <c r="B425" s="4"/>
      <c r="G425" s="30"/>
      <c r="H425" s="30"/>
      <c r="I425" s="30"/>
      <c r="J425" s="30"/>
      <c r="K425" s="30"/>
      <c r="L425" s="30"/>
      <c r="M425" s="30"/>
      <c r="N425" s="30"/>
      <c r="O425" s="30"/>
      <c r="P425" s="30"/>
      <c r="Q425" s="30"/>
      <c r="R425" s="30"/>
      <c r="S425" s="30"/>
      <c r="AD425" s="26"/>
      <c r="AE425" s="26"/>
    </row>
    <row r="426" spans="1:31" x14ac:dyDescent="0.2">
      <c r="A426" s="31" t="s">
        <v>317</v>
      </c>
      <c r="B426" s="4"/>
      <c r="AD426" s="26"/>
      <c r="AE426" s="26"/>
    </row>
    <row r="427" spans="1:31" x14ac:dyDescent="0.2">
      <c r="A427" s="3" t="s">
        <v>823</v>
      </c>
      <c r="B427" s="4"/>
      <c r="F427" s="21">
        <f t="shared" ref="F427:S427" si="233">-(F$371-MIN(0,F$86))</f>
        <v>0</v>
      </c>
      <c r="G427" s="21">
        <f t="shared" si="233"/>
        <v>0</v>
      </c>
      <c r="H427" s="21">
        <f t="shared" si="233"/>
        <v>0</v>
      </c>
      <c r="I427" s="21">
        <f t="shared" si="233"/>
        <v>0</v>
      </c>
      <c r="J427" s="21">
        <f t="shared" si="233"/>
        <v>1.161</v>
      </c>
      <c r="K427" s="21">
        <f t="shared" si="233"/>
        <v>0.80499999999999994</v>
      </c>
      <c r="L427" s="21">
        <f t="shared" si="233"/>
        <v>1.4680000000000002</v>
      </c>
      <c r="M427" s="21">
        <f t="shared" si="233"/>
        <v>1.7010000000000001</v>
      </c>
      <c r="N427" s="21">
        <f t="shared" si="233"/>
        <v>0.65200000000000014</v>
      </c>
      <c r="O427" s="24">
        <f t="shared" si="233"/>
        <v>1.4849999999999999</v>
      </c>
      <c r="P427" s="24">
        <f t="shared" si="233"/>
        <v>0.90799999999999947</v>
      </c>
      <c r="Q427" s="24">
        <f t="shared" si="233"/>
        <v>0.96300000000000008</v>
      </c>
      <c r="R427" s="24">
        <f t="shared" si="233"/>
        <v>1.0249999999999999</v>
      </c>
      <c r="S427" s="24">
        <f t="shared" si="233"/>
        <v>1.0870000000000002</v>
      </c>
      <c r="T427" s="26">
        <f ca="1">IF(T$4=OFFSET(Choices!$B$10,0,$C$1),AVERAGE(Q$427/Q$368,R$427/R$368,S$427/S$368),S$427/S$368)*T$368</f>
        <v>1.1546048717862976</v>
      </c>
      <c r="U427" s="26">
        <f ca="1">IF(U$4=OFFSET(Choices!$B$10,0,$C$1),AVERAGE(R$427/R$368,S$427/S$368,T$427/T$368),T$427/T$368)*U$368</f>
        <v>1.2221504088673352</v>
      </c>
      <c r="V427" s="26">
        <f ca="1">IF(V$4=OFFSET(Choices!$B$10,0,$C$1),AVERAGE(S$427/S$368,T$427/T$368,U$427/U$368),U$427/U$368)*V$368</f>
        <v>1.3734167051435551</v>
      </c>
      <c r="W427" s="26">
        <f ca="1">IF(W$4=OFFSET(Choices!$B$10,0,$C$1),AVERAGE(T$427/T$368,U$427/U$368,V$427/V$368),V$427/V$368)*W$368</f>
        <v>1.5285395621085787</v>
      </c>
      <c r="X427" s="26">
        <f ca="1">IF(X$4=OFFSET(Choices!$B$10,0,$C$1),AVERAGE(U$427/U$368,V$427/V$368,W$427/W$368),W$427/W$368)*X$368</f>
        <v>1.6872340031835498</v>
      </c>
      <c r="Y427" s="26">
        <f ca="1">IF(Y$4=OFFSET(Choices!$B$10,0,$C$1),AVERAGE(V$427/V$368,W$427/W$368,X$427/X$368),X$427/X$368)*Y$368</f>
        <v>1.8482263293381593</v>
      </c>
      <c r="Z427" s="26">
        <f ca="1">IF(Z$4=OFFSET(Choices!$B$10,0,$C$1),AVERAGE(W$427/W$368,X$427/X$368,Y$427/Y$368),Y$427/Y$368)*Z$368</f>
        <v>2.0103671184788916</v>
      </c>
      <c r="AA427" s="26">
        <f ca="1">IF(AA$4=OFFSET(Choices!$B$10,0,$C$1),AVERAGE(X$427/X$368,Y$427/Y$368,Z$427/Z$368),Z$427/Z$368)*AA$368</f>
        <v>2.1734388974706995</v>
      </c>
      <c r="AB427" s="26">
        <f ca="1">IF(AB$4=OFFSET(Choices!$B$10,0,$C$1),AVERAGE(Y$427/Y$368,Z$427/Z$368,AA$427/AA$368),AA$427/AA$368)*AB$368</f>
        <v>2.3374113215115884</v>
      </c>
      <c r="AC427" s="26">
        <f ca="1">IF(AC$4=OFFSET(Choices!$B$10,0,$C$1),AVERAGE(Z$427/Z$368,AA$427/AA$368,AB$427/AB$368),AB$427/AB$368)*AC$368</f>
        <v>2.5033954927458995</v>
      </c>
      <c r="AD427" s="26"/>
      <c r="AE427" s="26"/>
    </row>
    <row r="428" spans="1:31" x14ac:dyDescent="0.2">
      <c r="A428" s="3" t="s">
        <v>1186</v>
      </c>
      <c r="B428" s="4" t="str">
        <f>$B$46</f>
        <v>From Fiscal Forecasts</v>
      </c>
      <c r="F428" s="21">
        <f>'Fiscal Forecasts'!F$381</f>
        <v>3.1789999999999998</v>
      </c>
      <c r="G428" s="21">
        <f>'Fiscal Forecasts'!G$381</f>
        <v>4.4509999999999996</v>
      </c>
      <c r="H428" s="21">
        <f>'Fiscal Forecasts'!H$381</f>
        <v>3.7589999999999999</v>
      </c>
      <c r="I428" s="21">
        <f>'Fiscal Forecasts'!I$381</f>
        <v>3.2280000000000002</v>
      </c>
      <c r="J428" s="21">
        <f>'Fiscal Forecasts'!J$381</f>
        <v>3.762</v>
      </c>
      <c r="K428" s="21">
        <f>'Fiscal Forecasts'!K$381</f>
        <v>3.3490000000000002</v>
      </c>
      <c r="L428" s="21">
        <f>'Fiscal Forecasts'!L$381</f>
        <v>3.544</v>
      </c>
      <c r="M428" s="21">
        <f>'Fiscal Forecasts'!M$381</f>
        <v>4.5259999999999998</v>
      </c>
      <c r="N428" s="21">
        <f>'Fiscal Forecasts'!N$381</f>
        <v>4.3540000000000001</v>
      </c>
      <c r="O428" s="24">
        <f>'Fiscal Forecasts'!O$381</f>
        <v>4.0460000000000003</v>
      </c>
      <c r="P428" s="24">
        <f>'Fiscal Forecasts'!P$381</f>
        <v>4.1369999999999996</v>
      </c>
      <c r="Q428" s="24">
        <f>'Fiscal Forecasts'!Q$381</f>
        <v>4.7240000000000002</v>
      </c>
      <c r="R428" s="24">
        <f>'Fiscal Forecasts'!R$381</f>
        <v>5.3609999999999998</v>
      </c>
      <c r="S428" s="24">
        <f>'Fiscal Forecasts'!S$381</f>
        <v>5.8639999999999999</v>
      </c>
      <c r="T428" s="26">
        <f t="shared" ref="T428:AC428" ca="1" si="234">S$428*T$142/S$142</f>
        <v>6.1496672648805708</v>
      </c>
      <c r="U428" s="26">
        <f t="shared" ca="1" si="234"/>
        <v>6.4335632815422992</v>
      </c>
      <c r="V428" s="26">
        <f t="shared" ca="1" si="234"/>
        <v>6.7341525158387343</v>
      </c>
      <c r="W428" s="26">
        <f t="shared" ca="1" si="234"/>
        <v>7.0439186421189675</v>
      </c>
      <c r="X428" s="26">
        <f t="shared" ca="1" si="234"/>
        <v>7.3534586768497521</v>
      </c>
      <c r="Y428" s="26">
        <f t="shared" ca="1" si="234"/>
        <v>7.6763001936427617</v>
      </c>
      <c r="Z428" s="26">
        <f t="shared" ca="1" si="234"/>
        <v>8.0085953189628096</v>
      </c>
      <c r="AA428" s="26">
        <f t="shared" ca="1" si="234"/>
        <v>8.3505778404755837</v>
      </c>
      <c r="AB428" s="26">
        <f t="shared" ca="1" si="234"/>
        <v>8.7009271832078081</v>
      </c>
      <c r="AC428" s="26">
        <f t="shared" ca="1" si="234"/>
        <v>9.061469267296042</v>
      </c>
      <c r="AD428" s="26"/>
      <c r="AE428" s="26"/>
    </row>
    <row r="429" spans="1:31" x14ac:dyDescent="0.2">
      <c r="A429" s="3" t="s">
        <v>751</v>
      </c>
      <c r="B429" s="4" t="str">
        <f>$B$46</f>
        <v>From Fiscal Forecasts</v>
      </c>
      <c r="F429" s="21">
        <f>'Fiscal Forecasts'!F$383-SUM(F$427:F$428)</f>
        <v>2.1549999999999998</v>
      </c>
      <c r="G429" s="21">
        <f>'Fiscal Forecasts'!G$383-SUM(G$427:G$428)</f>
        <v>2.9740000000000002</v>
      </c>
      <c r="H429" s="21">
        <f>'Fiscal Forecasts'!H$383-SUM(H$427:H$428)</f>
        <v>3.1259999999999999</v>
      </c>
      <c r="I429" s="21">
        <f>'Fiscal Forecasts'!I$383-SUM(I$427:I$428)</f>
        <v>3.8919999999999999</v>
      </c>
      <c r="J429" s="21">
        <f>'Fiscal Forecasts'!J$383-SUM(J$427:J$428)</f>
        <v>2.0739999999999998</v>
      </c>
      <c r="K429" s="21">
        <f>'Fiscal Forecasts'!K$383-SUM(K$427:K$428)</f>
        <v>2.9850000000000003</v>
      </c>
      <c r="L429" s="21">
        <f>'Fiscal Forecasts'!L$383-SUM(L$427:L$428)</f>
        <v>2.8609999999999998</v>
      </c>
      <c r="M429" s="21">
        <f>'Fiscal Forecasts'!M$383-SUM(M$427:M$428)</f>
        <v>2.4309999999999992</v>
      </c>
      <c r="N429" s="21">
        <f>'Fiscal Forecasts'!N$383-SUM(N$427:N$428)</f>
        <v>3.125</v>
      </c>
      <c r="O429" s="24">
        <f>'Fiscal Forecasts'!O$383-SUM(O$427:O$428)</f>
        <v>3.0629999999999988</v>
      </c>
      <c r="P429" s="24">
        <f>'Fiscal Forecasts'!P$383-SUM(P$427:P$428)</f>
        <v>2.7670000000000012</v>
      </c>
      <c r="Q429" s="24">
        <f>'Fiscal Forecasts'!Q$383-SUM(Q$427:Q$428)</f>
        <v>2.4669999999999996</v>
      </c>
      <c r="R429" s="24">
        <f>'Fiscal Forecasts'!R$383-SUM(R$427:R$428)</f>
        <v>2.625</v>
      </c>
      <c r="S429" s="24">
        <f>'Fiscal Forecasts'!S$383-SUM(S$427:S$428)</f>
        <v>2.4740000000000002</v>
      </c>
      <c r="T429" s="26">
        <f ca="1">(S$429/S$11+IF(T$1&gt;0,T$1*IF(T$4=OFFSET(Choices!$B$10,0,$C$1),SUMPRODUCT(OFFSET(S$429,0,0,1,-OFFSET(Choices!$B$59,0,$C$1)),OFFSET(S$13,0,0,1,-OFFSET(Choices!$B$59,0,$C$1)))/OFFSET(Choices!$B$59,0,$C$1)-S$429/S$11,(S$429/S$11-R$429/R$11)/S$1),0))*T$11</f>
        <v>2.6392636068963755</v>
      </c>
      <c r="U429" s="26">
        <f ca="1">(T$429/T$11+IF(U$1&gt;0,U$1*IF(U$4=OFFSET(Choices!$B$10,0,$C$1),SUMPRODUCT(OFFSET(T$429,0,0,1,-OFFSET(Choices!$B$59,0,$C$1)),OFFSET(T$13,0,0,1,-OFFSET(Choices!$B$59,0,$C$1)))/OFFSET(Choices!$B$59,0,$C$1)-T$429/T$11,(T$429/T$11-S$429/S$11)/T$1),0))*U$11</f>
        <v>2.8025373470239345</v>
      </c>
      <c r="V429" s="26">
        <f ca="1">(U$429/U$11+IF(V$1&gt;0,V$1*IF(V$4=OFFSET(Choices!$B$10,0,$C$1),SUMPRODUCT(OFFSET(U$429,0,0,1,-OFFSET(Choices!$B$59,0,$C$1)),OFFSET(U$13,0,0,1,-OFFSET(Choices!$B$59,0,$C$1)))/OFFSET(Choices!$B$59,0,$C$1)-U$429/U$11,(U$429/U$11-T$429/T$11)/U$1),0))*V$11</f>
        <v>2.9646075700712373</v>
      </c>
      <c r="W429" s="26">
        <f ca="1">(V$429/V$11+IF(W$1&gt;0,W$1*IF(W$4=OFFSET(Choices!$B$10,0,$C$1),SUMPRODUCT(OFFSET(V$429,0,0,1,-OFFSET(Choices!$B$59,0,$C$1)),OFFSET(V$13,0,0,1,-OFFSET(Choices!$B$59,0,$C$1)))/OFFSET(Choices!$B$59,0,$C$1)-V$429/V$11,(V$429/V$11-U$429/U$11)/V$1),0))*W$11</f>
        <v>3.1219597021103662</v>
      </c>
      <c r="X429" s="26">
        <f ca="1">(W$429/W$11+IF(X$1&gt;0,X$1*IF(X$4=OFFSET(Choices!$B$10,0,$C$1),SUMPRODUCT(OFFSET(W$429,0,0,1,-OFFSET(Choices!$B$59,0,$C$1)),OFFSET(W$13,0,0,1,-OFFSET(Choices!$B$59,0,$C$1)))/OFFSET(Choices!$B$59,0,$C$1)-W$429/W$11,(W$429/W$11-V$429/V$11)/W$1),0))*X$11</f>
        <v>3.2738160338761717</v>
      </c>
      <c r="Y429" s="26">
        <f ca="1">(X$429/X$11+IF(Y$1&gt;0,Y$1*IF(Y$4=OFFSET(Choices!$B$10,0,$C$1),SUMPRODUCT(OFFSET(X$429,0,0,1,-OFFSET(Choices!$B$59,0,$C$1)),OFFSET(X$13,0,0,1,-OFFSET(Choices!$B$59,0,$C$1)))/OFFSET(Choices!$B$59,0,$C$1)-X$429/X$11,(X$429/X$11-W$429/W$11)/X$1),0))*Y$11</f>
        <v>3.4175475458795352</v>
      </c>
      <c r="Z429" s="26">
        <f ca="1">(Y$429/Y$11+IF(Z$1&gt;0,Z$1*IF(Z$4=OFFSET(Choices!$B$10,0,$C$1),SUMPRODUCT(OFFSET(Y$429,0,0,1,-OFFSET(Choices!$B$59,0,$C$1)),OFFSET(Y$13,0,0,1,-OFFSET(Choices!$B$59,0,$C$1)))/OFFSET(Choices!$B$59,0,$C$1)-Y$429/Y$11,(Y$429/Y$11-X$429/X$11)/Y$1),0))*Z$11</f>
        <v>3.5654878766896498</v>
      </c>
      <c r="AA429" s="26">
        <f ca="1">(Z$429/Z$11+IF(AA$1&gt;0,AA$1*IF(AA$4=OFFSET(Choices!$B$10,0,$C$1),SUMPRODUCT(OFFSET(Z$429,0,0,1,-OFFSET(Choices!$B$59,0,$C$1)),OFFSET(Z$13,0,0,1,-OFFSET(Choices!$B$59,0,$C$1)))/OFFSET(Choices!$B$59,0,$C$1)-Z$429/Z$11,(Z$429/Z$11-Y$429/Y$11)/Z$1),0))*AA$11</f>
        <v>3.7177411103630265</v>
      </c>
      <c r="AB429" s="26">
        <f ca="1">(AA$429/AA$11+IF(AB$1&gt;0,AB$1*IF(AB$4=OFFSET(Choices!$B$10,0,$C$1),SUMPRODUCT(OFFSET(AA$429,0,0,1,-OFFSET(Choices!$B$59,0,$C$1)),OFFSET(AA$13,0,0,1,-OFFSET(Choices!$B$59,0,$C$1)))/OFFSET(Choices!$B$59,0,$C$1)-AA$429/AA$11,(AA$429/AA$11-Z$429/Z$11)/AA$1),0))*AB$11</f>
        <v>3.873719316823296</v>
      </c>
      <c r="AC429" s="26">
        <f ca="1">(AB$429/AB$11+IF(AC$1&gt;0,AC$1*IF(AC$4=OFFSET(Choices!$B$10,0,$C$1),SUMPRODUCT(OFFSET(AB$429,0,0,1,-OFFSET(Choices!$B$59,0,$C$1)),OFFSET(AB$13,0,0,1,-OFFSET(Choices!$B$59,0,$C$1)))/OFFSET(Choices!$B$59,0,$C$1)-AB$429/AB$11,(AB$429/AB$11-AA$429/AA$11)/AB$1),0))*AC$11</f>
        <v>4.0342354096778301</v>
      </c>
      <c r="AD429" s="26"/>
      <c r="AE429" s="26"/>
    </row>
    <row r="430" spans="1:31" x14ac:dyDescent="0.2">
      <c r="A430" s="31" t="s">
        <v>752</v>
      </c>
      <c r="B430" s="4"/>
      <c r="F430" s="56">
        <f>SUM(F$427:F$429)</f>
        <v>5.3339999999999996</v>
      </c>
      <c r="G430" s="56">
        <f t="shared" ref="G430:AC430" si="235">SUM(G$427:G$429)</f>
        <v>7.4249999999999998</v>
      </c>
      <c r="H430" s="56">
        <f t="shared" si="235"/>
        <v>6.8849999999999998</v>
      </c>
      <c r="I430" s="56">
        <f t="shared" si="235"/>
        <v>7.12</v>
      </c>
      <c r="J430" s="56">
        <f t="shared" si="235"/>
        <v>6.9969999999999999</v>
      </c>
      <c r="K430" s="56">
        <f t="shared" si="235"/>
        <v>7.1390000000000002</v>
      </c>
      <c r="L430" s="56">
        <f t="shared" si="235"/>
        <v>7.8730000000000002</v>
      </c>
      <c r="M430" s="56">
        <f t="shared" si="235"/>
        <v>8.6579999999999995</v>
      </c>
      <c r="N430" s="56">
        <f t="shared" si="235"/>
        <v>8.1310000000000002</v>
      </c>
      <c r="O430" s="57">
        <f t="shared" si="235"/>
        <v>8.5939999999999994</v>
      </c>
      <c r="P430" s="57">
        <f t="shared" si="235"/>
        <v>7.8120000000000003</v>
      </c>
      <c r="Q430" s="57">
        <f t="shared" si="235"/>
        <v>8.1539999999999999</v>
      </c>
      <c r="R430" s="57">
        <f t="shared" si="235"/>
        <v>9.0109999999999992</v>
      </c>
      <c r="S430" s="57">
        <f t="shared" si="235"/>
        <v>9.4250000000000007</v>
      </c>
      <c r="T430" s="58">
        <f t="shared" ca="1" si="235"/>
        <v>9.9435357435632437</v>
      </c>
      <c r="U430" s="58">
        <f t="shared" ca="1" si="235"/>
        <v>10.458251037433568</v>
      </c>
      <c r="V430" s="58">
        <f t="shared" ca="1" si="235"/>
        <v>11.072176791053527</v>
      </c>
      <c r="W430" s="58">
        <f t="shared" ca="1" si="235"/>
        <v>11.694417906337913</v>
      </c>
      <c r="X430" s="58">
        <f t="shared" ca="1" si="235"/>
        <v>12.314508713909474</v>
      </c>
      <c r="Y430" s="58">
        <f t="shared" ca="1" si="235"/>
        <v>12.942074068860457</v>
      </c>
      <c r="Z430" s="58">
        <f t="shared" ca="1" si="235"/>
        <v>13.584450314131351</v>
      </c>
      <c r="AA430" s="58">
        <f t="shared" ca="1" si="235"/>
        <v>14.241757848309309</v>
      </c>
      <c r="AB430" s="58">
        <f t="shared" ca="1" si="235"/>
        <v>14.912057821542692</v>
      </c>
      <c r="AC430" s="58">
        <f t="shared" ca="1" si="235"/>
        <v>15.599100169719772</v>
      </c>
      <c r="AD430" s="26"/>
      <c r="AE430" s="26"/>
    </row>
    <row r="431" spans="1:31" x14ac:dyDescent="0.2">
      <c r="A431" s="31" t="s">
        <v>753</v>
      </c>
      <c r="B431" s="4" t="str">
        <f>$B$46</f>
        <v>From Fiscal Forecasts</v>
      </c>
      <c r="F431" s="23">
        <f>SUM('Fiscal Forecasts'!F$127)</f>
        <v>8.0749999999999993</v>
      </c>
      <c r="G431" s="23">
        <f>SUM('Fiscal Forecasts'!G$127)</f>
        <v>10.895</v>
      </c>
      <c r="H431" s="23">
        <f>SUM('Fiscal Forecasts'!H$127)</f>
        <v>9.1389999999999993</v>
      </c>
      <c r="I431" s="23">
        <f>SUM('Fiscal Forecasts'!I$127)</f>
        <v>9.9309999999999992</v>
      </c>
      <c r="J431" s="23">
        <f>SUM('Fiscal Forecasts'!J$127)</f>
        <v>11.099</v>
      </c>
      <c r="K431" s="23">
        <f>SUM('Fiscal Forecasts'!K$127)</f>
        <v>11.603999999999999</v>
      </c>
      <c r="L431" s="23">
        <f>SUM('Fiscal Forecasts'!L$127)</f>
        <v>11.16</v>
      </c>
      <c r="M431" s="23">
        <f>SUM('Fiscal Forecasts'!M$127)</f>
        <v>12.117000000000001</v>
      </c>
      <c r="N431" s="23">
        <f>SUM('Fiscal Forecasts'!N$127)</f>
        <v>11.952999999999999</v>
      </c>
      <c r="O431" s="25">
        <f>SUM('Fiscal Forecasts'!O$127)</f>
        <v>12.38</v>
      </c>
      <c r="P431" s="25">
        <f>SUM('Fiscal Forecasts'!P$127)</f>
        <v>11.76</v>
      </c>
      <c r="Q431" s="25">
        <f>SUM('Fiscal Forecasts'!Q$127)</f>
        <v>12.109</v>
      </c>
      <c r="R431" s="25">
        <f>SUM('Fiscal Forecasts'!R$127)</f>
        <v>12.958</v>
      </c>
      <c r="S431" s="25">
        <f>SUM('Fiscal Forecasts'!S$127)</f>
        <v>12.771000000000001</v>
      </c>
      <c r="T431" s="11">
        <f ca="1">((S$431-S$430+S$114)/S$11+IF(T$1&gt;0,T$1*IF(T$4=OFFSET(Choices!$B$10,0,$C$1),(SUMPRODUCT(OFFSET(S$431,0,0,1,-OFFSET(Choices!$B$59,0,$C$1)),OFFSET(S$13,0,0,1,-OFFSET(Choices!$B$59,0,$C$1)))-SUMPRODUCT(OFFSET(S$430,0,0,1,-OFFSET(Choices!$B$59,0,$C$1)),OFFSET(S$13,0,0,1,-OFFSET(Choices!$B$59,0,$C$1)))+SUMPRODUCT(OFFSET(S$114,0,0,1,-OFFSET(Choices!$B$59,0,$C$1)),OFFSET(S$13,0,0,1,-OFFSET(Choices!$B$59,0,$C$1))))/OFFSET(Choices!$B$59,0,$C$1)-(S$431-S$430+S$114)/S$11,((S$431-S$430+S$114)/S$11-(R$431-R$430+R$114)/R$11)/S$1),0))*T$11 +T$430-T$114</f>
        <v>13.668737103448978</v>
      </c>
      <c r="U431" s="11">
        <f ca="1">((T$431-T$430+T$114)/T$11+IF(U$1&gt;0,U$1*IF(U$4=OFFSET(Choices!$B$10,0,$C$1),(SUMPRODUCT(OFFSET(T$431,0,0,1,-OFFSET(Choices!$B$59,0,$C$1)),OFFSET(T$13,0,0,1,-OFFSET(Choices!$B$59,0,$C$1)))-SUMPRODUCT(OFFSET(T$430,0,0,1,-OFFSET(Choices!$B$59,0,$C$1)),OFFSET(T$13,0,0,1,-OFFSET(Choices!$B$59,0,$C$1)))+SUMPRODUCT(OFFSET(T$114,0,0,1,-OFFSET(Choices!$B$59,0,$C$1)),OFFSET(T$13,0,0,1,-OFFSET(Choices!$B$59,0,$C$1))))/OFFSET(Choices!$B$59,0,$C$1)-(T$431-T$430+T$114)/T$11,((T$431-T$430+T$114)/T$11-(S$431-S$430+S$114)/S$11)/T$1),0))*U$11 +U$430-U$114</f>
        <v>14.494138055215169</v>
      </c>
      <c r="V431" s="11">
        <f ca="1">((U$431-U$430+U$114)/U$11+IF(V$1&gt;0,V$1*IF(V$4=OFFSET(Choices!$B$10,0,$C$1),(SUMPRODUCT(OFFSET(U$431,0,0,1,-OFFSET(Choices!$B$59,0,$C$1)),OFFSET(U$13,0,0,1,-OFFSET(Choices!$B$59,0,$C$1)))-SUMPRODUCT(OFFSET(U$430,0,0,1,-OFFSET(Choices!$B$59,0,$C$1)),OFFSET(U$13,0,0,1,-OFFSET(Choices!$B$59,0,$C$1)))+SUMPRODUCT(OFFSET(U$114,0,0,1,-OFFSET(Choices!$B$59,0,$C$1)),OFFSET(U$13,0,0,1,-OFFSET(Choices!$B$59,0,$C$1))))/OFFSET(Choices!$B$59,0,$C$1)-(U$431-U$430+U$114)/U$11,((U$431-U$430+U$114)/U$11-(T$431-T$430+T$114)/T$11)/U$1),0))*V$11 +V$430-V$114</f>
        <v>15.399142931245704</v>
      </c>
      <c r="W431" s="11">
        <f ca="1">((V$431-V$430+V$114)/V$11+IF(W$1&gt;0,W$1*IF(W$4=OFFSET(Choices!$B$10,0,$C$1),(SUMPRODUCT(OFFSET(V$431,0,0,1,-OFFSET(Choices!$B$59,0,$C$1)),OFFSET(V$13,0,0,1,-OFFSET(Choices!$B$59,0,$C$1)))-SUMPRODUCT(OFFSET(V$430,0,0,1,-OFFSET(Choices!$B$59,0,$C$1)),OFFSET(V$13,0,0,1,-OFFSET(Choices!$B$59,0,$C$1)))+SUMPRODUCT(OFFSET(V$114,0,0,1,-OFFSET(Choices!$B$59,0,$C$1)),OFFSET(V$13,0,0,1,-OFFSET(Choices!$B$59,0,$C$1))))/OFFSET(Choices!$B$59,0,$C$1)-(V$431-V$430+V$114)/V$11,((V$431-V$430+V$114)/V$11-(U$431-U$430+U$114)/U$11)/V$1),0))*W$11 +W$430-W$114</f>
        <v>16.285363717781955</v>
      </c>
      <c r="X431" s="11">
        <f ca="1">((W$431-W$430+W$114)/W$11+IF(X$1&gt;0,X$1*IF(X$4=OFFSET(Choices!$B$10,0,$C$1),(SUMPRODUCT(OFFSET(W$431,0,0,1,-OFFSET(Choices!$B$59,0,$C$1)),OFFSET(W$13,0,0,1,-OFFSET(Choices!$B$59,0,$C$1)))-SUMPRODUCT(OFFSET(W$430,0,0,1,-OFFSET(Choices!$B$59,0,$C$1)),OFFSET(W$13,0,0,1,-OFFSET(Choices!$B$59,0,$C$1)))+SUMPRODUCT(OFFSET(W$114,0,0,1,-OFFSET(Choices!$B$59,0,$C$1)),OFFSET(W$13,0,0,1,-OFFSET(Choices!$B$59,0,$C$1))))/OFFSET(Choices!$B$59,0,$C$1)-(W$431-W$430+W$114)/W$11,((W$431-W$430+W$114)/W$11-(V$431-V$430+V$114)/V$11)/W$1),0))*X$11 +X$430-X$114</f>
        <v>17.13787235352985</v>
      </c>
      <c r="Y431" s="11">
        <f ca="1">((X$431-X$430+X$114)/X$11+IF(Y$1&gt;0,Y$1*IF(Y$4=OFFSET(Choices!$B$10,0,$C$1),(SUMPRODUCT(OFFSET(X$431,0,0,1,-OFFSET(Choices!$B$59,0,$C$1)),OFFSET(X$13,0,0,1,-OFFSET(Choices!$B$59,0,$C$1)))-SUMPRODUCT(OFFSET(X$430,0,0,1,-OFFSET(Choices!$B$59,0,$C$1)),OFFSET(X$13,0,0,1,-OFFSET(Choices!$B$59,0,$C$1)))+SUMPRODUCT(OFFSET(X$114,0,0,1,-OFFSET(Choices!$B$59,0,$C$1)),OFFSET(X$13,0,0,1,-OFFSET(Choices!$B$59,0,$C$1))))/OFFSET(Choices!$B$59,0,$C$1)-(X$431-X$430+X$114)/X$11,((X$431-X$430+X$114)/X$11-(W$431-W$430+W$114)/W$11)/X$1),0))*Y$11 +Y$430-Y$114</f>
        <v>17.959184274984601</v>
      </c>
      <c r="Z431" s="11">
        <f ca="1">((Y$431-Y$430+Y$114)/Y$11+IF(Z$1&gt;0,Z$1*IF(Z$4=OFFSET(Choices!$B$10,0,$C$1),(SUMPRODUCT(OFFSET(Y$431,0,0,1,-OFFSET(Choices!$B$59,0,$C$1)),OFFSET(Y$13,0,0,1,-OFFSET(Choices!$B$59,0,$C$1)))-SUMPRODUCT(OFFSET(Y$430,0,0,1,-OFFSET(Choices!$B$59,0,$C$1)),OFFSET(Y$13,0,0,1,-OFFSET(Choices!$B$59,0,$C$1)))+SUMPRODUCT(OFFSET(Y$114,0,0,1,-OFFSET(Choices!$B$59,0,$C$1)),OFFSET(Y$13,0,0,1,-OFFSET(Choices!$B$59,0,$C$1))))/OFFSET(Choices!$B$59,0,$C$1)-(Y$431-Y$430+Y$114)/Y$11,((Y$431-Y$430+Y$114)/Y$11-(X$431-X$430+X$114)/X$11)/Y$1),0))*Z$11 +Z$430-Z$114</f>
        <v>18.801735757000685</v>
      </c>
      <c r="AA431" s="11">
        <f ca="1">((Z$431-Z$430+Z$114)/Z$11+IF(AA$1&gt;0,AA$1*IF(AA$4=OFFSET(Choices!$B$10,0,$C$1),(SUMPRODUCT(OFFSET(Z$431,0,0,1,-OFFSET(Choices!$B$59,0,$C$1)),OFFSET(Z$13,0,0,1,-OFFSET(Choices!$B$59,0,$C$1)))-SUMPRODUCT(OFFSET(Z$430,0,0,1,-OFFSET(Choices!$B$59,0,$C$1)),OFFSET(Z$13,0,0,1,-OFFSET(Choices!$B$59,0,$C$1)))+SUMPRODUCT(OFFSET(Z$114,0,0,1,-OFFSET(Choices!$B$59,0,$C$1)),OFFSET(Z$13,0,0,1,-OFFSET(Choices!$B$59,0,$C$1))))/OFFSET(Choices!$B$59,0,$C$1)-(Z$431-Z$430+Z$114)/Z$11,((Z$431-Z$430+Z$114)/Z$11-(Y$431-Y$430+Y$114)/Y$11)/Z$1),0))*AA$11 +AA$430-AA$114</f>
        <v>19.665783966682188</v>
      </c>
      <c r="AB431" s="11">
        <f ca="1">((AA$431-AA$430+AA$114)/AA$11+IF(AB$1&gt;0,AB$1*IF(AB$4=OFFSET(Choices!$B$10,0,$C$1),(SUMPRODUCT(OFFSET(AA$431,0,0,1,-OFFSET(Choices!$B$59,0,$C$1)),OFFSET(AA$13,0,0,1,-OFFSET(Choices!$B$59,0,$C$1)))-SUMPRODUCT(OFFSET(AA$430,0,0,1,-OFFSET(Choices!$B$59,0,$C$1)),OFFSET(AA$13,0,0,1,-OFFSET(Choices!$B$59,0,$C$1)))+SUMPRODUCT(OFFSET(AA$114,0,0,1,-OFFSET(Choices!$B$59,0,$C$1)),OFFSET(AA$13,0,0,1,-OFFSET(Choices!$B$59,0,$C$1))))/OFFSET(Choices!$B$59,0,$C$1)-(AA$431-AA$430+AA$114)/AA$11,((AA$431-AA$430+AA$114)/AA$11-(Z$431-Z$430+Z$114)/Z$11)/AA$1),0))*AB$11 +AB$430-AB$114</f>
        <v>20.548636029671727</v>
      </c>
      <c r="AC431" s="11">
        <f ca="1">((AB$431-AB$430+AB$114)/AB$11+IF(AC$1&gt;0,AC$1*IF(AC$4=OFFSET(Choices!$B$10,0,$C$1),(SUMPRODUCT(OFFSET(AB$431,0,0,1,-OFFSET(Choices!$B$59,0,$C$1)),OFFSET(AB$13,0,0,1,-OFFSET(Choices!$B$59,0,$C$1)))-SUMPRODUCT(OFFSET(AB$430,0,0,1,-OFFSET(Choices!$B$59,0,$C$1)),OFFSET(AB$13,0,0,1,-OFFSET(Choices!$B$59,0,$C$1)))+SUMPRODUCT(OFFSET(AB$114,0,0,1,-OFFSET(Choices!$B$59,0,$C$1)),OFFSET(AB$13,0,0,1,-OFFSET(Choices!$B$59,0,$C$1))))/OFFSET(Choices!$B$59,0,$C$1)-(AB$431-AB$430+AB$114)/AB$11,((AB$431-AB$430+AB$114)/AB$11-(AA$431-AA$430+AA$114)/AA$11)/AB$1),0))*AC$11 +AC$430-AC$114</f>
        <v>21.45508736409591</v>
      </c>
      <c r="AD431" s="26"/>
      <c r="AE431" s="26"/>
    </row>
    <row r="432" spans="1:31" x14ac:dyDescent="0.2">
      <c r="B432" s="4"/>
      <c r="AD432" s="26"/>
      <c r="AE432" s="26"/>
    </row>
    <row r="433" spans="1:31" x14ac:dyDescent="0.2">
      <c r="A433" s="31" t="s">
        <v>700</v>
      </c>
      <c r="B433" s="4" t="str">
        <f>$B$46</f>
        <v>From Fiscal Forecasts</v>
      </c>
      <c r="F433" s="23">
        <f>'Fiscal Forecasts'!F$196</f>
        <v>6.0999999999999999E-2</v>
      </c>
      <c r="G433" s="23">
        <f>'Fiscal Forecasts'!G$196</f>
        <v>5.6000000000000001E-2</v>
      </c>
      <c r="H433" s="23">
        <f>'Fiscal Forecasts'!H$196</f>
        <v>0.27500000000000002</v>
      </c>
      <c r="I433" s="23">
        <f>'Fiscal Forecasts'!I$196</f>
        <v>0.45500000000000002</v>
      </c>
      <c r="J433" s="23">
        <f>'Fiscal Forecasts'!J$196</f>
        <v>0.437</v>
      </c>
      <c r="K433" s="23">
        <f>'Fiscal Forecasts'!K$196</f>
        <v>0.41599999999999998</v>
      </c>
      <c r="L433" s="23">
        <f>'Fiscal Forecasts'!L$196</f>
        <v>0.39899999999999997</v>
      </c>
      <c r="M433" s="23">
        <f>'Fiscal Forecasts'!M$196</f>
        <v>0.56299999999999994</v>
      </c>
      <c r="N433" s="23">
        <f>'Fiscal Forecasts'!N$196</f>
        <v>0.57299999999999995</v>
      </c>
      <c r="O433" s="25">
        <f>'Fiscal Forecasts'!O$196</f>
        <v>0.53100000000000003</v>
      </c>
      <c r="P433" s="25">
        <f>'Fiscal Forecasts'!P$196</f>
        <v>0.5</v>
      </c>
      <c r="Q433" s="25">
        <f>'Fiscal Forecasts'!Q$196</f>
        <v>0.47399999999999998</v>
      </c>
      <c r="R433" s="25">
        <f>'Fiscal Forecasts'!R$196</f>
        <v>0.44600000000000001</v>
      </c>
      <c r="S433" s="25">
        <f>'Fiscal Forecasts'!S$196</f>
        <v>0.41899999999999998</v>
      </c>
      <c r="T433" s="11">
        <f ca="1">(S$433/S$11+IF(T$1&gt;0,T$1*IF(T$4=OFFSET(Choices!$B$10,0,$C$1),SUMPRODUCT(OFFSET(S$433,0,0,1,-OFFSET(Choices!$B$59,0,$C$1)),OFFSET(S$13,0,0,1,-OFFSET(Choices!$B$59,0,$C$1)))/OFFSET(Choices!$B$59,0,$C$1)-S$433/S$11,(S$433/S$11-R$433/R$11)/S$1),0))*T$11</f>
        <v>0.45428411652950001</v>
      </c>
      <c r="U433" s="11">
        <f ca="1">(T$433/T$11+IF(U$1&gt;0,U$1*IF(U$4=OFFSET(Choices!$B$10,0,$C$1),SUMPRODUCT(OFFSET(T$433,0,0,1,-OFFSET(Choices!$B$59,0,$C$1)),OFFSET(T$13,0,0,1,-OFFSET(Choices!$B$59,0,$C$1)))/OFFSET(Choices!$B$59,0,$C$1)-T$433/T$11,(T$433/T$11-S$433/S$11)/T$1),0))*U$11</f>
        <v>0.48835434983022352</v>
      </c>
      <c r="V433" s="11">
        <f ca="1">(U$433/U$11+IF(V$1&gt;0,V$1*IF(V$4=OFFSET(Choices!$B$10,0,$C$1),SUMPRODUCT(OFFSET(U$433,0,0,1,-OFFSET(Choices!$B$59,0,$C$1)),OFFSET(U$13,0,0,1,-OFFSET(Choices!$B$59,0,$C$1)))/OFFSET(Choices!$B$59,0,$C$1)-U$433/U$11,(U$433/U$11-T$433/T$11)/U$1),0))*V$11</f>
        <v>0.52119448797452472</v>
      </c>
      <c r="W433" s="11">
        <f ca="1">(V$433/V$11+IF(W$1&gt;0,W$1*IF(W$4=OFFSET(Choices!$B$10,0,$C$1),SUMPRODUCT(OFFSET(V$433,0,0,1,-OFFSET(Choices!$B$59,0,$C$1)),OFFSET(V$13,0,0,1,-OFFSET(Choices!$B$59,0,$C$1)))/OFFSET(Choices!$B$59,0,$C$1)-V$433/V$11,(V$433/V$11-U$433/U$11)/V$1),0))*W$11</f>
        <v>0.55202110063642573</v>
      </c>
      <c r="X433" s="11">
        <f ca="1">(W$433/W$11+IF(X$1&gt;0,X$1*IF(X$4=OFFSET(Choices!$B$10,0,$C$1),SUMPRODUCT(OFFSET(W$433,0,0,1,-OFFSET(Choices!$B$59,0,$C$1)),OFFSET(W$13,0,0,1,-OFFSET(Choices!$B$59,0,$C$1)))/OFFSET(Choices!$B$59,0,$C$1)-W$433/W$11,(W$433/W$11-V$433/V$11)/W$1),0))*X$11</f>
        <v>0.58051065807197488</v>
      </c>
      <c r="Y433" s="11">
        <f ca="1">(X$433/X$11+IF(Y$1&gt;0,Y$1*IF(Y$4=OFFSET(Choices!$B$10,0,$C$1),SUMPRODUCT(OFFSET(X$433,0,0,1,-OFFSET(Choices!$B$59,0,$C$1)),OFFSET(X$13,0,0,1,-OFFSET(Choices!$B$59,0,$C$1)))/OFFSET(Choices!$B$59,0,$C$1)-X$433/X$11,(X$433/X$11-W$433/W$11)/X$1),0))*Y$11</f>
        <v>0.6059970243660403</v>
      </c>
      <c r="Z433" s="11">
        <f ca="1">(Y$433/Y$11+IF(Z$1&gt;0,Z$1*IF(Z$4=OFFSET(Choices!$B$10,0,$C$1),SUMPRODUCT(OFFSET(Y$433,0,0,1,-OFFSET(Choices!$B$59,0,$C$1)),OFFSET(Y$13,0,0,1,-OFFSET(Choices!$B$59,0,$C$1)))/OFFSET(Choices!$B$59,0,$C$1)-Y$433/Y$11,(Y$433/Y$11-X$433/X$11)/Y$1),0))*Z$11</f>
        <v>0.63222969532412188</v>
      </c>
      <c r="AA433" s="11">
        <f ca="1">(Z$433/Z$11+IF(AA$1&gt;0,AA$1*IF(AA$4=OFFSET(Choices!$B$10,0,$C$1),SUMPRODUCT(OFFSET(Z$433,0,0,1,-OFFSET(Choices!$B$59,0,$C$1)),OFFSET(Z$13,0,0,1,-OFFSET(Choices!$B$59,0,$C$1)))/OFFSET(Choices!$B$59,0,$C$1)-Z$433/Z$11,(Z$433/Z$11-Y$433/Y$11)/Z$1),0))*AA$11</f>
        <v>0.6592271270547837</v>
      </c>
      <c r="AB433" s="11">
        <f ca="1">(AA$433/AA$11+IF(AB$1&gt;0,AB$1*IF(AB$4=OFFSET(Choices!$B$10,0,$C$1),SUMPRODUCT(OFFSET(AA$433,0,0,1,-OFFSET(Choices!$B$59,0,$C$1)),OFFSET(AA$13,0,0,1,-OFFSET(Choices!$B$59,0,$C$1)))/OFFSET(Choices!$B$59,0,$C$1)-AA$433/AA$11,(AA$433/AA$11-Z$433/Z$11)/AA$1),0))*AB$11</f>
        <v>0.68688506822807882</v>
      </c>
      <c r="AC433" s="11">
        <f ca="1">(AB$433/AB$11+IF(AC$1&gt;0,AC$1*IF(AC$4=OFFSET(Choices!$B$10,0,$C$1),SUMPRODUCT(OFFSET(AB$433,0,0,1,-OFFSET(Choices!$B$59,0,$C$1)),OFFSET(AB$13,0,0,1,-OFFSET(Choices!$B$59,0,$C$1)))/OFFSET(Choices!$B$59,0,$C$1)-AB$433/AB$11,(AB$433/AB$11-AA$433/AA$11)/AB$1),0))*AC$11</f>
        <v>0.7153476640886659</v>
      </c>
      <c r="AD433" s="26"/>
      <c r="AE433" s="26"/>
    </row>
    <row r="434" spans="1:31" x14ac:dyDescent="0.2">
      <c r="A434" s="31" t="s">
        <v>756</v>
      </c>
      <c r="B434" s="4" t="str">
        <f>$B$46</f>
        <v>From Fiscal Forecasts</v>
      </c>
      <c r="F434" s="23">
        <f>'Fiscal Forecasts'!F$128</f>
        <v>0.96599999999999997</v>
      </c>
      <c r="G434" s="23">
        <f>'Fiscal Forecasts'!G$128</f>
        <v>1.292</v>
      </c>
      <c r="H434" s="23">
        <f>'Fiscal Forecasts'!H$128</f>
        <v>1.4259999999999999</v>
      </c>
      <c r="I434" s="23">
        <f>'Fiscal Forecasts'!I$128</f>
        <v>1.6279999999999999</v>
      </c>
      <c r="J434" s="23">
        <f>'Fiscal Forecasts'!J$128</f>
        <v>1.6739999999999999</v>
      </c>
      <c r="K434" s="23">
        <f>'Fiscal Forecasts'!K$128</f>
        <v>1.712</v>
      </c>
      <c r="L434" s="23">
        <f>'Fiscal Forecasts'!L$128</f>
        <v>1.714</v>
      </c>
      <c r="M434" s="23">
        <f>'Fiscal Forecasts'!M$128</f>
        <v>1.962</v>
      </c>
      <c r="N434" s="23">
        <f>'Fiscal Forecasts'!N$128</f>
        <v>2.1120000000000001</v>
      </c>
      <c r="O434" s="25">
        <f>'Fiscal Forecasts'!O$128</f>
        <v>2.169</v>
      </c>
      <c r="P434" s="25">
        <f>'Fiscal Forecasts'!P$128</f>
        <v>2.1760000000000002</v>
      </c>
      <c r="Q434" s="25">
        <f>'Fiscal Forecasts'!Q$128</f>
        <v>2.1880000000000002</v>
      </c>
      <c r="R434" s="25">
        <f>'Fiscal Forecasts'!R$128</f>
        <v>2.1989999999999998</v>
      </c>
      <c r="S434" s="25">
        <f>'Fiscal Forecasts'!S$128</f>
        <v>2.214</v>
      </c>
      <c r="T434" s="11">
        <f ca="1">((S$434-S$433)/S$11+IF(T$1&gt;0,T$1*IF(T$4=OFFSET(Choices!$B$10,0,$C$1),(SUMPRODUCT(OFFSET(S$434,0,0,1,-OFFSET(Choices!$B$59,0,$C$1)),OFFSET(S$13,0,0,1,-OFFSET(Choices!$B$59,0,$C$1)))-SUMPRODUCT(OFFSET(S$433,0,0,1,-OFFSET(Choices!$B$59,0,$C$1)),OFFSET(S$13,0,0,1,-OFFSET(Choices!$B$59,0,$C$1))))/OFFSET(Choices!$B$59,0,$C$1)-(S$434-S$433)/S$11,((S$434-S$433)/S$11-(R$434-R$433)/R$11)/S$1),0))*T$11 +T$433</f>
        <v>2.3412728062734787</v>
      </c>
      <c r="U434" s="11">
        <f ca="1">((T$434-T$433)/T$11+IF(U$1&gt;0,U$1*IF(U$4=OFFSET(Choices!$B$10,0,$C$1),(SUMPRODUCT(OFFSET(T$434,0,0,1,-OFFSET(Choices!$B$59,0,$C$1)),OFFSET(T$13,0,0,1,-OFFSET(Choices!$B$59,0,$C$1)))-SUMPRODUCT(OFFSET(T$433,0,0,1,-OFFSET(Choices!$B$59,0,$C$1)),OFFSET(T$13,0,0,1,-OFFSET(Choices!$B$59,0,$C$1))))/OFFSET(Choices!$B$59,0,$C$1)-(T$434-T$433)/T$11,((T$434-T$433)/T$11-(S$434-S$433)/S$11)/T$1),0))*U$11 +U$433</f>
        <v>2.4692438240676307</v>
      </c>
      <c r="V434" s="11">
        <f ca="1">((U$434-U$433)/U$11+IF(V$1&gt;0,V$1*IF(V$4=OFFSET(Choices!$B$10,0,$C$1),(SUMPRODUCT(OFFSET(U$434,0,0,1,-OFFSET(Choices!$B$59,0,$C$1)),OFFSET(U$13,0,0,1,-OFFSET(Choices!$B$59,0,$C$1)))-SUMPRODUCT(OFFSET(U$433,0,0,1,-OFFSET(Choices!$B$59,0,$C$1)),OFFSET(U$13,0,0,1,-OFFSET(Choices!$B$59,0,$C$1))))/OFFSET(Choices!$B$59,0,$C$1)-(U$434-U$433)/U$11,((U$434-U$433)/U$11-(T$434-T$433)/T$11)/U$1),0))*V$11 +V$433</f>
        <v>2.5990390910379193</v>
      </c>
      <c r="W434" s="11">
        <f ca="1">((V$434-V$433)/V$11+IF(W$1&gt;0,W$1*IF(W$4=OFFSET(Choices!$B$10,0,$C$1),(SUMPRODUCT(OFFSET(V$434,0,0,1,-OFFSET(Choices!$B$59,0,$C$1)),OFFSET(V$13,0,0,1,-OFFSET(Choices!$B$59,0,$C$1)))-SUMPRODUCT(OFFSET(V$433,0,0,1,-OFFSET(Choices!$B$59,0,$C$1)),OFFSET(V$13,0,0,1,-OFFSET(Choices!$B$59,0,$C$1))))/OFFSET(Choices!$B$59,0,$C$1)-(V$434-V$433)/V$11,((V$434-V$433)/V$11-(U$434-U$433)/U$11)/V$1),0))*W$11 +W$433</f>
        <v>2.7280454298294767</v>
      </c>
      <c r="X434" s="11">
        <f ca="1">((W$434-W$433)/W$11+IF(X$1&gt;0,X$1*IF(X$4=OFFSET(Choices!$B$10,0,$C$1),(SUMPRODUCT(OFFSET(W$434,0,0,1,-OFFSET(Choices!$B$59,0,$C$1)),OFFSET(W$13,0,0,1,-OFFSET(Choices!$B$59,0,$C$1)))-SUMPRODUCT(OFFSET(W$433,0,0,1,-OFFSET(Choices!$B$59,0,$C$1)),OFFSET(W$13,0,0,1,-OFFSET(Choices!$B$59,0,$C$1))))/OFFSET(Choices!$B$59,0,$C$1)-(W$434-W$433)/W$11,((W$434-W$433)/W$11-(V$434-V$433)/V$11)/W$1),0))*X$11 +X$433</f>
        <v>2.8561091322302126</v>
      </c>
      <c r="Y434" s="11">
        <f ca="1">((X$434-X$433)/X$11+IF(Y$1&gt;0,Y$1*IF(Y$4=OFFSET(Choices!$B$10,0,$C$1),(SUMPRODUCT(OFFSET(X$434,0,0,1,-OFFSET(Choices!$B$59,0,$C$1)),OFFSET(X$13,0,0,1,-OFFSET(Choices!$B$59,0,$C$1)))-SUMPRODUCT(OFFSET(X$433,0,0,1,-OFFSET(Choices!$B$59,0,$C$1)),OFFSET(X$13,0,0,1,-OFFSET(Choices!$B$59,0,$C$1))))/OFFSET(Choices!$B$59,0,$C$1)-(X$434-X$433)/X$11,((X$434-X$433)/X$11-(W$434-W$433)/W$11)/X$1),0))*Y$11 +Y$433</f>
        <v>2.9815019092751762</v>
      </c>
      <c r="Z434" s="11">
        <f ca="1">((Y$434-Y$433)/Y$11+IF(Z$1&gt;0,Z$1*IF(Z$4=OFFSET(Choices!$B$10,0,$C$1),(SUMPRODUCT(OFFSET(Y$434,0,0,1,-OFFSET(Choices!$B$59,0,$C$1)),OFFSET(Y$13,0,0,1,-OFFSET(Choices!$B$59,0,$C$1)))-SUMPRODUCT(OFFSET(Y$433,0,0,1,-OFFSET(Choices!$B$59,0,$C$1)),OFFSET(Y$13,0,0,1,-OFFSET(Choices!$B$59,0,$C$1))))/OFFSET(Choices!$B$59,0,$C$1)-(Y$434-Y$433)/Y$11,((Y$434-Y$433)/Y$11-(X$434-X$433)/X$11)/Y$1),0))*Z$11 +Z$433</f>
        <v>3.1105665010175692</v>
      </c>
      <c r="AA434" s="11">
        <f ca="1">((Z$434-Z$433)/Z$11+IF(AA$1&gt;0,AA$1*IF(AA$4=OFFSET(Choices!$B$10,0,$C$1),(SUMPRODUCT(OFFSET(Z$434,0,0,1,-OFFSET(Choices!$B$59,0,$C$1)),OFFSET(Z$13,0,0,1,-OFFSET(Choices!$B$59,0,$C$1)))-SUMPRODUCT(OFFSET(Z$433,0,0,1,-OFFSET(Choices!$B$59,0,$C$1)),OFFSET(Z$13,0,0,1,-OFFSET(Choices!$B$59,0,$C$1))))/OFFSET(Choices!$B$59,0,$C$1)-(Z$434-Z$433)/Z$11,((Z$434-Z$433)/Z$11-(Y$434-Y$433)/Y$11)/Z$1),0))*AA$11 +AA$433</f>
        <v>3.2433937114064344</v>
      </c>
      <c r="AB434" s="11">
        <f ca="1">((AA$434-AA$433)/AA$11+IF(AB$1&gt;0,AB$1*IF(AB$4=OFFSET(Choices!$B$10,0,$C$1),(SUMPRODUCT(OFFSET(AA$434,0,0,1,-OFFSET(Choices!$B$59,0,$C$1)),OFFSET(AA$13,0,0,1,-OFFSET(Choices!$B$59,0,$C$1)))-SUMPRODUCT(OFFSET(AA$433,0,0,1,-OFFSET(Choices!$B$59,0,$C$1)),OFFSET(AA$13,0,0,1,-OFFSET(Choices!$B$59,0,$C$1))))/OFFSET(Choices!$B$59,0,$C$1)-(AA$434-AA$433)/AA$11,((AA$434-AA$433)/AA$11-(Z$434-Z$433)/Z$11)/AA$1),0))*AB$11 +AB$433</f>
        <v>3.3794706244920509</v>
      </c>
      <c r="AC434" s="11">
        <f ca="1">((AB$434-AB$433)/AB$11+IF(AC$1&gt;0,AC$1*IF(AC$4=OFFSET(Choices!$B$10,0,$C$1),(SUMPRODUCT(OFFSET(AB$434,0,0,1,-OFFSET(Choices!$B$59,0,$C$1)),OFFSET(AB$13,0,0,1,-OFFSET(Choices!$B$59,0,$C$1)))-SUMPRODUCT(OFFSET(AB$433,0,0,1,-OFFSET(Choices!$B$59,0,$C$1)),OFFSET(AB$13,0,0,1,-OFFSET(Choices!$B$59,0,$C$1))))/OFFSET(Choices!$B$59,0,$C$1)-(AB$434-AB$433)/AB$11,((AB$434-AB$433)/AB$11-(AA$434-AA$433)/AA$11)/AB$1),0))*AC$11 +AC$433</f>
        <v>3.5195064340573623</v>
      </c>
      <c r="AD434" s="26"/>
      <c r="AE434" s="26"/>
    </row>
    <row r="435" spans="1:31" x14ac:dyDescent="0.2">
      <c r="A435" s="31"/>
      <c r="B435" s="4"/>
      <c r="AD435" s="26"/>
      <c r="AE435" s="26"/>
    </row>
    <row r="436" spans="1:31" x14ac:dyDescent="0.2">
      <c r="A436" s="31" t="s">
        <v>320</v>
      </c>
      <c r="B436" s="4"/>
      <c r="AD436" s="26"/>
      <c r="AE436" s="26"/>
    </row>
    <row r="437" spans="1:31" x14ac:dyDescent="0.2">
      <c r="A437" s="32" t="s">
        <v>412</v>
      </c>
      <c r="B437" s="4" t="str">
        <f>$B$46</f>
        <v>From Fiscal Forecasts</v>
      </c>
      <c r="F437" s="21">
        <f>'Fiscal Forecasts'!F$197</f>
        <v>3.0000000000000001E-3</v>
      </c>
      <c r="G437" s="21">
        <f>'Fiscal Forecasts'!G$197</f>
        <v>3.0000000000000001E-3</v>
      </c>
      <c r="H437" s="21">
        <f>'Fiscal Forecasts'!H$197</f>
        <v>5.0000000000000001E-3</v>
      </c>
      <c r="I437" s="21">
        <f>'Fiscal Forecasts'!I$197</f>
        <v>6.0000000000000001E-3</v>
      </c>
      <c r="J437" s="21">
        <f>'Fiscal Forecasts'!J$197</f>
        <v>1.4E-2</v>
      </c>
      <c r="K437" s="21">
        <f>'Fiscal Forecasts'!K$197</f>
        <v>3.0000000000000001E-3</v>
      </c>
      <c r="L437" s="21">
        <f>'Fiscal Forecasts'!L$197</f>
        <v>2.1999999999999999E-2</v>
      </c>
      <c r="M437" s="21">
        <f>'Fiscal Forecasts'!M$197</f>
        <v>1.7999999999999999E-2</v>
      </c>
      <c r="N437" s="21">
        <f>'Fiscal Forecasts'!N$197</f>
        <v>2.3E-2</v>
      </c>
      <c r="O437" s="24">
        <f>'Fiscal Forecasts'!O$197</f>
        <v>1.9E-2</v>
      </c>
      <c r="P437" s="24">
        <f>'Fiscal Forecasts'!P$197</f>
        <v>1.9E-2</v>
      </c>
      <c r="Q437" s="24">
        <f>'Fiscal Forecasts'!Q$197</f>
        <v>1.9E-2</v>
      </c>
      <c r="R437" s="24">
        <f>'Fiscal Forecasts'!R$197</f>
        <v>1.9E-2</v>
      </c>
      <c r="S437" s="24">
        <f>'Fiscal Forecasts'!S$197</f>
        <v>1.9E-2</v>
      </c>
      <c r="T437" s="26">
        <f t="shared" ref="T437:AC437" ca="1" si="236">S$437*T$29/S$29</f>
        <v>1.9387482625482629E-2</v>
      </c>
      <c r="U437" s="26">
        <f t="shared" ca="1" si="236"/>
        <v>1.9775232277992282E-2</v>
      </c>
      <c r="V437" s="26">
        <f t="shared" ca="1" si="236"/>
        <v>2.0170736923552125E-2</v>
      </c>
      <c r="W437" s="26">
        <f t="shared" ca="1" si="236"/>
        <v>2.0574151662023168E-2</v>
      </c>
      <c r="X437" s="26">
        <f t="shared" ca="1" si="236"/>
        <v>2.0985634695263631E-2</v>
      </c>
      <c r="Y437" s="26">
        <f t="shared" ca="1" si="236"/>
        <v>2.1405347389168904E-2</v>
      </c>
      <c r="Z437" s="26">
        <f t="shared" ca="1" si="236"/>
        <v>2.1833454336952284E-2</v>
      </c>
      <c r="AA437" s="26">
        <f t="shared" ca="1" si="236"/>
        <v>2.2270123423691328E-2</v>
      </c>
      <c r="AB437" s="26">
        <f t="shared" ca="1" si="236"/>
        <v>2.2715525892165158E-2</v>
      </c>
      <c r="AC437" s="26">
        <f t="shared" ca="1" si="236"/>
        <v>2.316983641000846E-2</v>
      </c>
      <c r="AD437" s="26"/>
      <c r="AE437" s="26"/>
    </row>
    <row r="438" spans="1:31" x14ac:dyDescent="0.2">
      <c r="A438" s="32" t="s">
        <v>759</v>
      </c>
      <c r="B438" s="4" t="str">
        <f>$B$46</f>
        <v>From Fiscal Forecasts</v>
      </c>
      <c r="F438" s="21">
        <f>'Fiscal Forecasts'!F$389</f>
        <v>17.327999999999999</v>
      </c>
      <c r="G438" s="21">
        <f>'Fiscal Forecasts'!G$389</f>
        <v>20.373999999999999</v>
      </c>
      <c r="H438" s="21">
        <f>'Fiscal Forecasts'!H$389</f>
        <v>26.446000000000002</v>
      </c>
      <c r="I438" s="21">
        <f>'Fiscal Forecasts'!I$389</f>
        <v>26.997</v>
      </c>
      <c r="J438" s="21">
        <f>'Fiscal Forecasts'!J$389</f>
        <v>26.939</v>
      </c>
      <c r="K438" s="21">
        <f>'Fiscal Forecasts'!K$389</f>
        <v>30.648</v>
      </c>
      <c r="L438" s="21">
        <f>'Fiscal Forecasts'!L$389</f>
        <v>29.446000000000002</v>
      </c>
      <c r="M438" s="21">
        <f>'Fiscal Forecasts'!M$389</f>
        <v>29.948</v>
      </c>
      <c r="N438" s="21">
        <f>'Fiscal Forecasts'!N$389</f>
        <v>32.518000000000001</v>
      </c>
      <c r="O438" s="24">
        <f>'Fiscal Forecasts'!O$389</f>
        <v>33.5</v>
      </c>
      <c r="P438" s="24">
        <f>'Fiscal Forecasts'!P$389</f>
        <v>34.654000000000003</v>
      </c>
      <c r="Q438" s="24">
        <f>'Fiscal Forecasts'!Q$389</f>
        <v>35.826000000000001</v>
      </c>
      <c r="R438" s="24">
        <f>'Fiscal Forecasts'!R$389</f>
        <v>37.067999999999998</v>
      </c>
      <c r="S438" s="24">
        <f>'Fiscal Forecasts'!S$389</f>
        <v>38.384</v>
      </c>
      <c r="T438" s="26">
        <f t="shared" ref="T438:AC438" si="237">S$438*T$376/S$376</f>
        <v>40.00153994880047</v>
      </c>
      <c r="U438" s="26">
        <f t="shared" si="237"/>
        <v>41.699622737336185</v>
      </c>
      <c r="V438" s="26">
        <f t="shared" si="237"/>
        <v>43.475953032520721</v>
      </c>
      <c r="W438" s="26">
        <f t="shared" si="237"/>
        <v>45.317849188780229</v>
      </c>
      <c r="X438" s="26">
        <f t="shared" si="237"/>
        <v>47.257350073701097</v>
      </c>
      <c r="Y438" s="26">
        <f t="shared" si="237"/>
        <v>49.206090082014917</v>
      </c>
      <c r="Z438" s="26">
        <f t="shared" si="237"/>
        <v>51.221546837050376</v>
      </c>
      <c r="AA438" s="26">
        <f t="shared" si="237"/>
        <v>53.286347578529892</v>
      </c>
      <c r="AB438" s="26">
        <f t="shared" si="237"/>
        <v>55.40525168725808</v>
      </c>
      <c r="AC438" s="26">
        <f t="shared" si="237"/>
        <v>57.601593424467822</v>
      </c>
      <c r="AD438" s="26"/>
      <c r="AE438" s="26"/>
    </row>
    <row r="439" spans="1:31" x14ac:dyDescent="0.2">
      <c r="A439" s="32" t="s">
        <v>760</v>
      </c>
      <c r="B439" s="4" t="str">
        <f>$B$46</f>
        <v>From Fiscal Forecasts</v>
      </c>
      <c r="F439" s="21">
        <f>'Fiscal Forecasts'!F$390</f>
        <v>6.8000000000000005E-2</v>
      </c>
      <c r="G439" s="21">
        <f>'Fiscal Forecasts'!G$390</f>
        <v>9.7000000000000003E-2</v>
      </c>
      <c r="H439" s="21">
        <f>'Fiscal Forecasts'!H$390</f>
        <v>8.6999999999999994E-2</v>
      </c>
      <c r="I439" s="21">
        <f>'Fiscal Forecasts'!I$390</f>
        <v>8.7999999999999995E-2</v>
      </c>
      <c r="J439" s="21">
        <f>'Fiscal Forecasts'!J$390</f>
        <v>10.57</v>
      </c>
      <c r="K439" s="21">
        <f>'Fiscal Forecasts'!K$390</f>
        <v>8.8770000000000007</v>
      </c>
      <c r="L439" s="21">
        <f>'Fiscal Forecasts'!L$390</f>
        <v>6.8689999999999998</v>
      </c>
      <c r="M439" s="21">
        <f>'Fiscal Forecasts'!M$390</f>
        <v>4.7469999999999999</v>
      </c>
      <c r="N439" s="21">
        <f>'Fiscal Forecasts'!N$390</f>
        <v>2.9649999999999999</v>
      </c>
      <c r="O439" s="24">
        <f>'Fiscal Forecasts'!O$390</f>
        <v>1.353</v>
      </c>
      <c r="P439" s="24">
        <f>'Fiscal Forecasts'!P$390</f>
        <v>0.38200000000000001</v>
      </c>
      <c r="Q439" s="24">
        <f>'Fiscal Forecasts'!Q$390</f>
        <v>0.19600000000000001</v>
      </c>
      <c r="R439" s="24">
        <f>'Fiscal Forecasts'!R$390</f>
        <v>0.17499999999999999</v>
      </c>
      <c r="S439" s="24">
        <f>'Fiscal Forecasts'!S$390</f>
        <v>0.17499999999999999</v>
      </c>
      <c r="T439" s="26">
        <f t="shared" ref="T439:AC439" ca="1" si="238">S$439*T$29/S$29</f>
        <v>0.17856891891891893</v>
      </c>
      <c r="U439" s="26">
        <f t="shared" ca="1" si="238"/>
        <v>0.18214029729729733</v>
      </c>
      <c r="V439" s="26">
        <f t="shared" ca="1" si="238"/>
        <v>0.18578310324324326</v>
      </c>
      <c r="W439" s="26">
        <f t="shared" ca="1" si="238"/>
        <v>0.18949876530810814</v>
      </c>
      <c r="X439" s="26">
        <f t="shared" ca="1" si="238"/>
        <v>0.19328874061427032</v>
      </c>
      <c r="Y439" s="26">
        <f t="shared" ca="1" si="238"/>
        <v>0.19715451542655574</v>
      </c>
      <c r="Z439" s="26">
        <f t="shared" ca="1" si="238"/>
        <v>0.20109760573508687</v>
      </c>
      <c r="AA439" s="26">
        <f t="shared" ca="1" si="238"/>
        <v>0.20511955784978858</v>
      </c>
      <c r="AB439" s="26">
        <f t="shared" ca="1" si="238"/>
        <v>0.20922194900678437</v>
      </c>
      <c r="AC439" s="26">
        <f t="shared" ca="1" si="238"/>
        <v>0.21340638798692005</v>
      </c>
      <c r="AD439" s="26"/>
      <c r="AE439" s="26"/>
    </row>
    <row r="440" spans="1:31" x14ac:dyDescent="0.2">
      <c r="A440" s="32" t="s">
        <v>757</v>
      </c>
      <c r="B440" s="4" t="str">
        <f>$B$46</f>
        <v>From Fiscal Forecasts</v>
      </c>
      <c r="F440" s="21">
        <f>'Fiscal Forecasts'!F$391-F$437</f>
        <v>1.9E-2</v>
      </c>
      <c r="G440" s="21">
        <f>'Fiscal Forecasts'!G$391-G$437</f>
        <v>9.9999999999999985E-3</v>
      </c>
      <c r="H440" s="21">
        <f>'Fiscal Forecasts'!H$391-H$437</f>
        <v>2.9000000000000001E-2</v>
      </c>
      <c r="I440" s="21">
        <f>'Fiscal Forecasts'!I$391-I$437</f>
        <v>0.04</v>
      </c>
      <c r="J440" s="21">
        <f>'Fiscal Forecasts'!J$391-J$437</f>
        <v>1.7909999999999997</v>
      </c>
      <c r="K440" s="21">
        <f>'Fiscal Forecasts'!K$391-K$437</f>
        <v>1.6579999999999999</v>
      </c>
      <c r="L440" s="21">
        <f>'Fiscal Forecasts'!L$391-L$437</f>
        <v>1.375</v>
      </c>
      <c r="M440" s="21">
        <f>'Fiscal Forecasts'!M$391-M$437</f>
        <v>1.1119999999999999</v>
      </c>
      <c r="N440" s="21">
        <f>'Fiscal Forecasts'!N$391-N$437</f>
        <v>0.92499999999999993</v>
      </c>
      <c r="O440" s="24">
        <f>'Fiscal Forecasts'!O$391-O$437</f>
        <v>0.34499999999999997</v>
      </c>
      <c r="P440" s="24">
        <f>'Fiscal Forecasts'!P$391-P$437</f>
        <v>0.27999999999999997</v>
      </c>
      <c r="Q440" s="24">
        <f>'Fiscal Forecasts'!Q$391-Q$437</f>
        <v>0.111</v>
      </c>
      <c r="R440" s="24">
        <f>'Fiscal Forecasts'!R$391-R$437</f>
        <v>6.3E-2</v>
      </c>
      <c r="S440" s="24">
        <f>'Fiscal Forecasts'!S$391-S$437</f>
        <v>6.6000000000000003E-2</v>
      </c>
      <c r="T440" s="26">
        <f t="shared" ref="T440:AC440" ca="1" si="239">S$440*T$29/S$29</f>
        <v>6.7345992277992289E-2</v>
      </c>
      <c r="U440" s="26">
        <f t="shared" ca="1" si="239"/>
        <v>6.8692912123552136E-2</v>
      </c>
      <c r="V440" s="26">
        <f t="shared" ca="1" si="239"/>
        <v>7.0066770366023171E-2</v>
      </c>
      <c r="W440" s="26">
        <f t="shared" ca="1" si="239"/>
        <v>7.1468105773343629E-2</v>
      </c>
      <c r="X440" s="26">
        <f t="shared" ca="1" si="239"/>
        <v>7.2897467888810505E-2</v>
      </c>
      <c r="Y440" s="26">
        <f t="shared" ca="1" si="239"/>
        <v>7.4355417246586716E-2</v>
      </c>
      <c r="Z440" s="26">
        <f t="shared" ca="1" si="239"/>
        <v>7.5842525591518453E-2</v>
      </c>
      <c r="AA440" s="26">
        <f t="shared" ca="1" si="239"/>
        <v>7.7359376103348823E-2</v>
      </c>
      <c r="AB440" s="26">
        <f t="shared" ca="1" si="239"/>
        <v>7.8906563625415801E-2</v>
      </c>
      <c r="AC440" s="26">
        <f t="shared" ca="1" si="239"/>
        <v>8.0484694897924106E-2</v>
      </c>
      <c r="AD440" s="26"/>
      <c r="AE440" s="26"/>
    </row>
    <row r="441" spans="1:31" x14ac:dyDescent="0.2">
      <c r="A441" s="31" t="s">
        <v>758</v>
      </c>
      <c r="B441" s="4"/>
      <c r="F441" s="56">
        <f>SUM(F$437:F$440)</f>
        <v>17.417999999999999</v>
      </c>
      <c r="G441" s="56">
        <f t="shared" ref="G441:AC441" si="240">SUM(G$437:G$440)</f>
        <v>20.484000000000002</v>
      </c>
      <c r="H441" s="56">
        <f t="shared" si="240"/>
        <v>26.567</v>
      </c>
      <c r="I441" s="56">
        <f t="shared" si="240"/>
        <v>27.131</v>
      </c>
      <c r="J441" s="56">
        <f t="shared" si="240"/>
        <v>39.313999999999993</v>
      </c>
      <c r="K441" s="56">
        <f t="shared" si="240"/>
        <v>41.186</v>
      </c>
      <c r="L441" s="56">
        <f t="shared" si="240"/>
        <v>37.712000000000003</v>
      </c>
      <c r="M441" s="56">
        <f t="shared" si="240"/>
        <v>35.825000000000003</v>
      </c>
      <c r="N441" s="56">
        <f t="shared" si="240"/>
        <v>36.430999999999997</v>
      </c>
      <c r="O441" s="57">
        <f t="shared" si="240"/>
        <v>35.216999999999999</v>
      </c>
      <c r="P441" s="57">
        <f t="shared" si="240"/>
        <v>35.335000000000001</v>
      </c>
      <c r="Q441" s="57">
        <f t="shared" si="240"/>
        <v>36.151999999999994</v>
      </c>
      <c r="R441" s="57">
        <f t="shared" si="240"/>
        <v>37.324999999999996</v>
      </c>
      <c r="S441" s="57">
        <f t="shared" si="240"/>
        <v>38.643999999999998</v>
      </c>
      <c r="T441" s="58">
        <f t="shared" ca="1" si="240"/>
        <v>40.266842342622866</v>
      </c>
      <c r="U441" s="58">
        <f t="shared" ca="1" si="240"/>
        <v>41.970231179035025</v>
      </c>
      <c r="V441" s="58">
        <f t="shared" ca="1" si="240"/>
        <v>43.751973643053546</v>
      </c>
      <c r="W441" s="58">
        <f t="shared" ca="1" si="240"/>
        <v>45.599390211523705</v>
      </c>
      <c r="X441" s="58">
        <f t="shared" ca="1" si="240"/>
        <v>47.544521916899441</v>
      </c>
      <c r="Y441" s="58">
        <f t="shared" ca="1" si="240"/>
        <v>49.499005362077227</v>
      </c>
      <c r="Z441" s="58">
        <f t="shared" ca="1" si="240"/>
        <v>51.52032042271393</v>
      </c>
      <c r="AA441" s="58">
        <f t="shared" ca="1" si="240"/>
        <v>53.591096635906716</v>
      </c>
      <c r="AB441" s="58">
        <f t="shared" ca="1" si="240"/>
        <v>55.716095725782445</v>
      </c>
      <c r="AC441" s="58">
        <f t="shared" ca="1" si="240"/>
        <v>57.918654343762675</v>
      </c>
      <c r="AD441" s="26"/>
      <c r="AE441" s="26"/>
    </row>
    <row r="442" spans="1:31" x14ac:dyDescent="0.2">
      <c r="A442" s="31"/>
      <c r="B442" s="4"/>
      <c r="F442" s="23"/>
      <c r="G442" s="23"/>
      <c r="H442" s="23"/>
      <c r="I442" s="23"/>
      <c r="J442" s="23"/>
      <c r="K442" s="23"/>
      <c r="L442" s="23"/>
      <c r="M442" s="23"/>
      <c r="N442" s="23"/>
      <c r="O442" s="25"/>
      <c r="P442" s="25"/>
      <c r="Q442" s="25"/>
      <c r="R442" s="25"/>
      <c r="S442" s="25"/>
      <c r="T442" s="11"/>
      <c r="U442" s="11"/>
      <c r="V442" s="11"/>
      <c r="W442" s="11"/>
      <c r="X442" s="11"/>
      <c r="Y442" s="11"/>
      <c r="Z442" s="11"/>
      <c r="AA442" s="11"/>
      <c r="AB442" s="11"/>
      <c r="AC442" s="11"/>
      <c r="AD442" s="26"/>
      <c r="AE442" s="26"/>
    </row>
    <row r="443" spans="1:31" x14ac:dyDescent="0.2">
      <c r="A443" s="31" t="s">
        <v>761</v>
      </c>
      <c r="B443" s="4"/>
      <c r="F443" s="23"/>
      <c r="G443" s="23"/>
      <c r="H443" s="23"/>
      <c r="I443" s="23"/>
      <c r="J443" s="23"/>
      <c r="K443" s="23"/>
      <c r="L443" s="23"/>
      <c r="M443" s="23"/>
      <c r="N443" s="23"/>
      <c r="O443" s="25"/>
      <c r="P443" s="25"/>
      <c r="Q443" s="25"/>
      <c r="R443" s="25"/>
      <c r="S443" s="25"/>
      <c r="T443" s="11"/>
      <c r="U443" s="11"/>
      <c r="V443" s="11"/>
      <c r="W443" s="11"/>
      <c r="X443" s="11"/>
      <c r="Y443" s="11"/>
      <c r="Z443" s="11"/>
      <c r="AA443" s="11"/>
      <c r="AB443" s="11"/>
      <c r="AC443" s="11"/>
      <c r="AD443" s="26"/>
      <c r="AE443" s="26"/>
    </row>
    <row r="444" spans="1:31" x14ac:dyDescent="0.2">
      <c r="A444" s="32" t="s">
        <v>412</v>
      </c>
      <c r="B444" s="4" t="str">
        <f>$B$46</f>
        <v>From Fiscal Forecasts</v>
      </c>
      <c r="F444" s="21">
        <f>'Fiscal Forecasts'!F$198</f>
        <v>7.1589999999999998</v>
      </c>
      <c r="G444" s="21">
        <f>'Fiscal Forecasts'!G$198</f>
        <v>8.2550000000000008</v>
      </c>
      <c r="H444" s="21">
        <f>'Fiscal Forecasts'!H$198</f>
        <v>8.9909999999999997</v>
      </c>
      <c r="I444" s="21">
        <f>'Fiscal Forecasts'!I$198</f>
        <v>9.9380000000000006</v>
      </c>
      <c r="J444" s="21">
        <f>'Fiscal Forecasts'!J$198</f>
        <v>10.154</v>
      </c>
      <c r="K444" s="21">
        <f>'Fiscal Forecasts'!K$198</f>
        <v>13.548</v>
      </c>
      <c r="L444" s="21">
        <f>'Fiscal Forecasts'!L$198</f>
        <v>11.914999999999999</v>
      </c>
      <c r="M444" s="21">
        <f>'Fiscal Forecasts'!M$198</f>
        <v>10.888999999999999</v>
      </c>
      <c r="N444" s="21">
        <f>'Fiscal Forecasts'!N$198</f>
        <v>10.843999999999999</v>
      </c>
      <c r="O444" s="24">
        <f>'Fiscal Forecasts'!O$198</f>
        <v>10.750999999999999</v>
      </c>
      <c r="P444" s="24">
        <f>'Fiscal Forecasts'!P$198</f>
        <v>10.244999999999999</v>
      </c>
      <c r="Q444" s="24">
        <f>'Fiscal Forecasts'!Q$198</f>
        <v>9.7370000000000001</v>
      </c>
      <c r="R444" s="24">
        <f>'Fiscal Forecasts'!R$198</f>
        <v>9.2349999999999994</v>
      </c>
      <c r="S444" s="24">
        <f>'Fiscal Forecasts'!S$198</f>
        <v>8.7420000000000009</v>
      </c>
      <c r="T444" s="26">
        <f t="shared" ref="T444:AC444" si="241">S$444*T$450/S$450</f>
        <v>8.4679377285551318</v>
      </c>
      <c r="U444" s="26">
        <f t="shared" si="241"/>
        <v>8.1810244790953632</v>
      </c>
      <c r="V444" s="26">
        <f t="shared" si="241"/>
        <v>7.8893296030274209</v>
      </c>
      <c r="W444" s="26">
        <f t="shared" si="241"/>
        <v>7.6034420016749547</v>
      </c>
      <c r="X444" s="26">
        <f t="shared" si="241"/>
        <v>7.3248768008244127</v>
      </c>
      <c r="Y444" s="26">
        <f t="shared" si="241"/>
        <v>7.0569089908882541</v>
      </c>
      <c r="Z444" s="26">
        <f t="shared" si="241"/>
        <v>6.7962593366586477</v>
      </c>
      <c r="AA444" s="26">
        <f t="shared" si="241"/>
        <v>6.5399018313580779</v>
      </c>
      <c r="AB444" s="26">
        <f t="shared" si="241"/>
        <v>6.2774965572978223</v>
      </c>
      <c r="AC444" s="26">
        <f t="shared" si="241"/>
        <v>6.0108076238992716</v>
      </c>
      <c r="AD444" s="26"/>
      <c r="AE444" s="26"/>
    </row>
    <row r="445" spans="1:31" x14ac:dyDescent="0.2">
      <c r="A445" s="32" t="s">
        <v>762</v>
      </c>
      <c r="B445" s="4" t="str">
        <f>$B$46</f>
        <v>From Fiscal Forecasts</v>
      </c>
      <c r="F445" s="21">
        <f>'Fiscal Forecasts'!F$131-F$444</f>
        <v>1.9999999999997797E-3</v>
      </c>
      <c r="G445" s="21">
        <f>'Fiscal Forecasts'!G$131-G$444</f>
        <v>1.9999999999988916E-3</v>
      </c>
      <c r="H445" s="21">
        <f>'Fiscal Forecasts'!H$131-H$444</f>
        <v>2.0000000000006679E-3</v>
      </c>
      <c r="I445" s="21">
        <f>'Fiscal Forecasts'!I$131-I$444</f>
        <v>1.9999999999988916E-3</v>
      </c>
      <c r="J445" s="21">
        <f>'Fiscal Forecasts'!J$131-J$444</f>
        <v>2.0000000000006679E-3</v>
      </c>
      <c r="K445" s="21">
        <f>'Fiscal Forecasts'!K$131-K$444</f>
        <v>-9.0000000000003411E-3</v>
      </c>
      <c r="L445" s="21">
        <f>'Fiscal Forecasts'!L$131-L$444</f>
        <v>-1.1999999999998678E-2</v>
      </c>
      <c r="M445" s="21">
        <f>'Fiscal Forecasts'!M$131-M$444</f>
        <v>-3.9999999999995595E-3</v>
      </c>
      <c r="N445" s="21">
        <f>'Fiscal Forecasts'!N$131-N$444</f>
        <v>-9.9999999999997868E-3</v>
      </c>
      <c r="O445" s="24">
        <f>'Fiscal Forecasts'!O$131-O$444</f>
        <v>-9.9999999999997868E-3</v>
      </c>
      <c r="P445" s="24">
        <f>'Fiscal Forecasts'!P$131-P$444</f>
        <v>-9.9999999999997868E-3</v>
      </c>
      <c r="Q445" s="24">
        <f>'Fiscal Forecasts'!Q$131-Q$444</f>
        <v>-9.9999999999997868E-3</v>
      </c>
      <c r="R445" s="24">
        <f>'Fiscal Forecasts'!R$131-R$444</f>
        <v>-9.9999999999997868E-3</v>
      </c>
      <c r="S445" s="24">
        <f>'Fiscal Forecasts'!S$131-S$444</f>
        <v>-1.0000000000001563E-2</v>
      </c>
      <c r="T445" s="26">
        <f ca="1">IF(T$4=OFFSET(Choices!$B$10,0,$C$1),AVERAGE(Q$445/Q$444,R$445/R$444,S$445/S$444),S$445/S$444)*T$444</f>
        <v>-9.1841852652188773E-3</v>
      </c>
      <c r="U445" s="26">
        <f ca="1">IF(U$4=OFFSET(Choices!$B$10,0,$C$1),AVERAGE(R$445/R$444,S$445/S$444,T$445/T$444),T$445/T$444)*U$444</f>
        <v>-8.8730038982139381E-3</v>
      </c>
      <c r="V445" s="26">
        <f ca="1">IF(V$4=OFFSET(Choices!$B$10,0,$C$1),AVERAGE(S$445/S$444,T$445/T$444,U$445/U$444),U$445/U$444)*V$444</f>
        <v>-8.5566364580414479E-3</v>
      </c>
      <c r="W445" s="26">
        <f ca="1">IF(W$4=OFFSET(Choices!$B$10,0,$C$1),AVERAGE(T$445/T$444,U$445/U$444,V$445/V$444),V$445/V$444)*W$444</f>
        <v>-8.2465674920172843E-3</v>
      </c>
      <c r="X445" s="26">
        <f ca="1">IF(X$4=OFFSET(Choices!$B$10,0,$C$1),AVERAGE(U$445/U$444,V$445/V$444,W$445/W$444),W$445/W$444)*X$444</f>
        <v>-7.9444402805207946E-3</v>
      </c>
      <c r="Y445" s="26">
        <f ca="1">IF(Y$4=OFFSET(Choices!$B$10,0,$C$1),AVERAGE(V$445/V$444,W$445/W$444,X$445/X$444),X$445/X$444)*Y$444</f>
        <v>-7.6538068240099419E-3</v>
      </c>
      <c r="Z445" s="26">
        <f ca="1">IF(Z$4=OFFSET(Choices!$B$10,0,$C$1),AVERAGE(W$445/W$444,X$445/X$444,Y$445/Y$444),Y$445/Y$444)*Z$444</f>
        <v>-7.3711105181918776E-3</v>
      </c>
      <c r="AA445" s="26">
        <f ca="1">IF(AA$4=OFFSET(Choices!$B$10,0,$C$1),AVERAGE(X$445/X$444,Y$445/Y$444,Z$445/Z$444),Z$445/Z$444)*AA$444</f>
        <v>-7.0930694061428056E-3</v>
      </c>
      <c r="AB445" s="26">
        <f ca="1">IF(AB$4=OFFSET(Choices!$B$10,0,$C$1),AVERAGE(Y$445/Y$444,Z$445/Z$444,AA$445/AA$444),AA$445/AA$444)*AB$444</f>
        <v>-6.8084689840809945E-3</v>
      </c>
      <c r="AC445" s="26">
        <f ca="1">IF(AC$4=OFFSET(Choices!$B$10,0,$C$1),AVERAGE(Z$445/Z$444,AA$445/AA$444,AB$445/AB$444),AB$445/AB$444)*AC$444</f>
        <v>-6.5192225759199574E-3</v>
      </c>
      <c r="AD445" s="26"/>
      <c r="AE445" s="26"/>
    </row>
    <row r="446" spans="1:31" x14ac:dyDescent="0.2">
      <c r="A446" s="31" t="s">
        <v>763</v>
      </c>
      <c r="B446" s="4"/>
      <c r="F446" s="56">
        <f>SUM(F$444:F$445)</f>
        <v>7.1609999999999996</v>
      </c>
      <c r="G446" s="56">
        <f t="shared" ref="G446:AC446" si="242">SUM(G$444:G$445)</f>
        <v>8.2569999999999997</v>
      </c>
      <c r="H446" s="56">
        <f t="shared" si="242"/>
        <v>8.9930000000000003</v>
      </c>
      <c r="I446" s="56">
        <f t="shared" si="242"/>
        <v>9.94</v>
      </c>
      <c r="J446" s="56">
        <f t="shared" si="242"/>
        <v>10.156000000000001</v>
      </c>
      <c r="K446" s="56">
        <f t="shared" si="242"/>
        <v>13.539</v>
      </c>
      <c r="L446" s="56">
        <f t="shared" si="242"/>
        <v>11.903</v>
      </c>
      <c r="M446" s="56">
        <f t="shared" si="242"/>
        <v>10.885</v>
      </c>
      <c r="N446" s="56">
        <f t="shared" si="242"/>
        <v>10.834</v>
      </c>
      <c r="O446" s="57">
        <f t="shared" si="242"/>
        <v>10.741</v>
      </c>
      <c r="P446" s="57">
        <f t="shared" si="242"/>
        <v>10.234999999999999</v>
      </c>
      <c r="Q446" s="57">
        <f t="shared" si="242"/>
        <v>9.7270000000000003</v>
      </c>
      <c r="R446" s="57">
        <f t="shared" si="242"/>
        <v>9.2249999999999996</v>
      </c>
      <c r="S446" s="57">
        <f t="shared" si="242"/>
        <v>8.7319999999999993</v>
      </c>
      <c r="T446" s="58">
        <f t="shared" ca="1" si="242"/>
        <v>8.4587535432899124</v>
      </c>
      <c r="U446" s="58">
        <f t="shared" ca="1" si="242"/>
        <v>8.1721514751971487</v>
      </c>
      <c r="V446" s="58">
        <f t="shared" ca="1" si="242"/>
        <v>7.8807729665693795</v>
      </c>
      <c r="W446" s="58">
        <f t="shared" ca="1" si="242"/>
        <v>7.5951954341829371</v>
      </c>
      <c r="X446" s="58">
        <f t="shared" ca="1" si="242"/>
        <v>7.3169323605438921</v>
      </c>
      <c r="Y446" s="58">
        <f t="shared" ca="1" si="242"/>
        <v>7.0492551840642443</v>
      </c>
      <c r="Z446" s="58">
        <f t="shared" ca="1" si="242"/>
        <v>6.7888882261404557</v>
      </c>
      <c r="AA446" s="58">
        <f t="shared" ca="1" si="242"/>
        <v>6.5328087619519355</v>
      </c>
      <c r="AB446" s="58">
        <f t="shared" ca="1" si="242"/>
        <v>6.270688088313741</v>
      </c>
      <c r="AC446" s="58">
        <f t="shared" ca="1" si="242"/>
        <v>6.0042884013233513</v>
      </c>
      <c r="AD446" s="26"/>
      <c r="AE446" s="26"/>
    </row>
    <row r="447" spans="1:31" x14ac:dyDescent="0.2">
      <c r="A447" s="31" t="s">
        <v>670</v>
      </c>
      <c r="B447" s="4"/>
      <c r="F447" s="23"/>
      <c r="G447" s="23"/>
      <c r="H447" s="23"/>
      <c r="I447" s="23"/>
      <c r="J447" s="23"/>
      <c r="K447" s="23"/>
      <c r="L447" s="23"/>
      <c r="M447" s="23"/>
      <c r="N447" s="23"/>
      <c r="O447" s="23"/>
      <c r="P447" s="23"/>
      <c r="Q447" s="23"/>
      <c r="R447" s="23"/>
      <c r="S447" s="23"/>
      <c r="T447" s="23"/>
      <c r="U447" s="23"/>
      <c r="V447" s="23"/>
      <c r="W447" s="23"/>
      <c r="X447" s="23"/>
      <c r="Y447" s="23"/>
      <c r="Z447" s="23"/>
      <c r="AA447" s="23"/>
      <c r="AB447" s="23"/>
      <c r="AC447" s="23"/>
      <c r="AD447" s="26"/>
      <c r="AE447" s="26"/>
    </row>
    <row r="448" spans="1:31" x14ac:dyDescent="0.2">
      <c r="A448" s="3" t="s">
        <v>764</v>
      </c>
      <c r="B448" s="4" t="str">
        <f>$B$46</f>
        <v>From Fiscal Forecasts</v>
      </c>
      <c r="F448" s="21">
        <f>'Fiscal Forecasts'!F$404</f>
        <v>11.167000000000002</v>
      </c>
      <c r="G448" s="21">
        <f>'Fiscal Forecasts'!G$404</f>
        <v>11.831000000000001</v>
      </c>
      <c r="H448" s="21">
        <f>'Fiscal Forecasts'!H$404</f>
        <v>11.792000000000002</v>
      </c>
      <c r="I448" s="21">
        <f>'Fiscal Forecasts'!I$404</f>
        <v>12.881000000000002</v>
      </c>
      <c r="J448" s="21">
        <f>'Fiscal Forecasts'!J$404</f>
        <v>13.311000000000002</v>
      </c>
      <c r="K448" s="21">
        <f>'Fiscal Forecasts'!K$404</f>
        <v>16.557000000000002</v>
      </c>
      <c r="L448" s="21">
        <f>'Fiscal Forecasts'!L$404</f>
        <v>15.290000000000003</v>
      </c>
      <c r="M448" s="21">
        <f>'Fiscal Forecasts'!M$404</f>
        <v>14.560000000000002</v>
      </c>
      <c r="N448" s="21">
        <f>'Fiscal Forecasts'!N$404</f>
        <v>14.932000000000002</v>
      </c>
      <c r="O448" s="24">
        <f>'Fiscal Forecasts'!O$404</f>
        <v>14.723000000000003</v>
      </c>
      <c r="P448" s="24">
        <f>'Fiscal Forecasts'!P$404</f>
        <v>14.242000000000003</v>
      </c>
      <c r="Q448" s="24">
        <f>'Fiscal Forecasts'!Q$404</f>
        <v>13.757000000000003</v>
      </c>
      <c r="R448" s="24">
        <f>'Fiscal Forecasts'!R$404</f>
        <v>13.275000000000004</v>
      </c>
      <c r="S448" s="24">
        <f>'Fiscal Forecasts'!S$404</f>
        <v>12.799000000000003</v>
      </c>
      <c r="T448" s="26">
        <f>S$448*Tracks!T$43/Tracks!S$43</f>
        <v>12.47319993695327</v>
      </c>
      <c r="U448" s="26">
        <f>T$448*Tracks!U$43/Tracks!T$43</f>
        <v>12.123191819686346</v>
      </c>
      <c r="V448" s="26">
        <f>U$448*Tracks!V$43/Tracks!U$43</f>
        <v>11.757044999605961</v>
      </c>
      <c r="W448" s="26">
        <f>V$448*Tracks!W$43/Tracks!V$43</f>
        <v>11.38787217274805</v>
      </c>
      <c r="X448" s="26">
        <f>W$448*Tracks!X$43/Tracks!W$43</f>
        <v>11.014664670186777</v>
      </c>
      <c r="Y448" s="26">
        <f>X$448*Tracks!Y$43/Tracks!X$43</f>
        <v>10.644483174403028</v>
      </c>
      <c r="Z448" s="26">
        <f>Y$448*Tracks!Z$43/Tracks!Y$43</f>
        <v>10.275310347545117</v>
      </c>
      <c r="AA448" s="26">
        <f>Z$448*Tracks!AA$43/Tracks!Z$43</f>
        <v>9.904120182835527</v>
      </c>
      <c r="AB448" s="26">
        <f>AA$448*Tracks!AB$43/Tracks!AA$43</f>
        <v>9.5218346599416801</v>
      </c>
      <c r="AC448" s="26">
        <f>AB$448*Tracks!AC$43/Tracks!AB$43</f>
        <v>9.1314797856411065</v>
      </c>
      <c r="AD448" s="26"/>
      <c r="AE448" s="26"/>
    </row>
    <row r="449" spans="1:31" x14ac:dyDescent="0.2">
      <c r="A449" s="3" t="s">
        <v>765</v>
      </c>
      <c r="B449" s="4" t="str">
        <f>$B$46</f>
        <v>From Fiscal Forecasts</v>
      </c>
      <c r="F449" s="21">
        <f>'Fiscal Forecasts'!F$407</f>
        <v>4.0069999999999997</v>
      </c>
      <c r="G449" s="21">
        <f>'Fiscal Forecasts'!G$407</f>
        <v>3.5739999999999994</v>
      </c>
      <c r="H449" s="21">
        <f>'Fiscal Forecasts'!H$407</f>
        <v>2.8039999999999998</v>
      </c>
      <c r="I449" s="21">
        <f>'Fiscal Forecasts'!I$407</f>
        <v>2.9449999999999998</v>
      </c>
      <c r="J449" s="21">
        <f>'Fiscal Forecasts'!J$407</f>
        <v>3.1589999999999998</v>
      </c>
      <c r="K449" s="21">
        <f>'Fiscal Forecasts'!K$407</f>
        <v>3.0179999999999998</v>
      </c>
      <c r="L449" s="21">
        <f>'Fiscal Forecasts'!L$407</f>
        <v>3.3819999999999997</v>
      </c>
      <c r="M449" s="21">
        <f>'Fiscal Forecasts'!M$407</f>
        <v>3.6739999999999995</v>
      </c>
      <c r="N449" s="21">
        <f>'Fiscal Forecasts'!N$407</f>
        <v>4.0869999999999997</v>
      </c>
      <c r="O449" s="24">
        <f>'Fiscal Forecasts'!O$407</f>
        <v>3.972</v>
      </c>
      <c r="P449" s="24">
        <f>'Fiscal Forecasts'!P$407</f>
        <v>3.9969999999999994</v>
      </c>
      <c r="Q449" s="24">
        <f>'Fiscal Forecasts'!Q$407</f>
        <v>4.0199999999999996</v>
      </c>
      <c r="R449" s="24">
        <f>'Fiscal Forecasts'!R$407</f>
        <v>4.04</v>
      </c>
      <c r="S449" s="24">
        <f>'Fiscal Forecasts'!S$407</f>
        <v>4.0569999999999995</v>
      </c>
      <c r="T449" s="26">
        <f>S$449*Tracks!T$42/Tracks!S$42</f>
        <v>4.0052622083981335</v>
      </c>
      <c r="U449" s="26">
        <f>T$449*Tracks!U$42/Tracks!T$42</f>
        <v>3.9421673405909798</v>
      </c>
      <c r="V449" s="26">
        <f>U$449*Tracks!V$42/Tracks!U$42</f>
        <v>3.8677153965785376</v>
      </c>
      <c r="W449" s="26">
        <f>V$449*Tracks!W$42/Tracks!V$42</f>
        <v>3.7844301710730943</v>
      </c>
      <c r="X449" s="26">
        <f>W$449*Tracks!X$42/Tracks!W$42</f>
        <v>3.6897878693623629</v>
      </c>
      <c r="Y449" s="26">
        <f>X$449*Tracks!Y$42/Tracks!X$42</f>
        <v>3.5875741835147736</v>
      </c>
      <c r="Z449" s="26">
        <f>Y$449*Tracks!Z$42/Tracks!Y$42</f>
        <v>3.4790510108864687</v>
      </c>
      <c r="AA449" s="26">
        <f>Z$449*Tracks!AA$42/Tracks!Z$42</f>
        <v>3.3642183514774482</v>
      </c>
      <c r="AB449" s="26">
        <f>AA$449*Tracks!AB$42/Tracks!AA$42</f>
        <v>3.2443381026438565</v>
      </c>
      <c r="AC449" s="26">
        <f>AB$449*Tracks!AC$42/Tracks!AB$42</f>
        <v>3.120672161741834</v>
      </c>
      <c r="AD449" s="26"/>
      <c r="AE449" s="26"/>
    </row>
    <row r="450" spans="1:31" x14ac:dyDescent="0.2">
      <c r="A450" s="3" t="s">
        <v>766</v>
      </c>
      <c r="B450" s="4"/>
      <c r="F450" s="56">
        <f>F$448-F$449</f>
        <v>7.1600000000000019</v>
      </c>
      <c r="G450" s="56">
        <f t="shared" ref="G450:AC450" si="243">G$448-G$449</f>
        <v>8.2570000000000014</v>
      </c>
      <c r="H450" s="56">
        <f t="shared" si="243"/>
        <v>8.9880000000000013</v>
      </c>
      <c r="I450" s="56">
        <f t="shared" si="243"/>
        <v>9.9360000000000017</v>
      </c>
      <c r="J450" s="56">
        <f t="shared" si="243"/>
        <v>10.152000000000001</v>
      </c>
      <c r="K450" s="56">
        <f t="shared" si="243"/>
        <v>13.539000000000001</v>
      </c>
      <c r="L450" s="56">
        <f t="shared" si="243"/>
        <v>11.908000000000003</v>
      </c>
      <c r="M450" s="56">
        <f t="shared" si="243"/>
        <v>10.886000000000003</v>
      </c>
      <c r="N450" s="56">
        <f t="shared" si="243"/>
        <v>10.845000000000002</v>
      </c>
      <c r="O450" s="57">
        <f t="shared" si="243"/>
        <v>10.751000000000003</v>
      </c>
      <c r="P450" s="57">
        <f t="shared" si="243"/>
        <v>10.245000000000003</v>
      </c>
      <c r="Q450" s="57">
        <f t="shared" si="243"/>
        <v>9.7370000000000037</v>
      </c>
      <c r="R450" s="57">
        <f t="shared" si="243"/>
        <v>9.235000000000003</v>
      </c>
      <c r="S450" s="57">
        <f t="shared" si="243"/>
        <v>8.7420000000000044</v>
      </c>
      <c r="T450" s="58">
        <f t="shared" si="243"/>
        <v>8.4679377285551354</v>
      </c>
      <c r="U450" s="58">
        <f t="shared" si="243"/>
        <v>8.1810244790953668</v>
      </c>
      <c r="V450" s="58">
        <f t="shared" si="243"/>
        <v>7.8893296030274236</v>
      </c>
      <c r="W450" s="58">
        <f t="shared" si="243"/>
        <v>7.6034420016749564</v>
      </c>
      <c r="X450" s="58">
        <f t="shared" si="243"/>
        <v>7.3248768008244145</v>
      </c>
      <c r="Y450" s="58">
        <f t="shared" si="243"/>
        <v>7.056908990888255</v>
      </c>
      <c r="Z450" s="58">
        <f t="shared" si="243"/>
        <v>6.7962593366586486</v>
      </c>
      <c r="AA450" s="58">
        <f t="shared" si="243"/>
        <v>6.5399018313580788</v>
      </c>
      <c r="AB450" s="58">
        <f t="shared" si="243"/>
        <v>6.2774965572978232</v>
      </c>
      <c r="AC450" s="58">
        <f t="shared" si="243"/>
        <v>6.0108076238992725</v>
      </c>
      <c r="AD450" s="26"/>
      <c r="AE450" s="26"/>
    </row>
    <row r="451" spans="1:31" x14ac:dyDescent="0.2">
      <c r="B451" s="4"/>
      <c r="F451" s="62"/>
      <c r="G451" s="62"/>
      <c r="H451" s="62"/>
      <c r="I451" s="62"/>
      <c r="J451" s="62"/>
      <c r="K451" s="62"/>
      <c r="L451" s="62"/>
      <c r="M451" s="62"/>
      <c r="N451" s="62"/>
      <c r="O451" s="70"/>
      <c r="P451" s="70"/>
      <c r="Q451" s="70"/>
      <c r="R451" s="70"/>
      <c r="S451" s="63"/>
      <c r="T451" s="63"/>
      <c r="U451" s="63"/>
      <c r="V451" s="63"/>
      <c r="W451" s="63"/>
      <c r="X451" s="63"/>
      <c r="Y451" s="63"/>
      <c r="Z451" s="63"/>
      <c r="AA451" s="63"/>
      <c r="AB451" s="63"/>
      <c r="AC451" s="63"/>
      <c r="AD451" s="26"/>
      <c r="AE451" s="26"/>
    </row>
    <row r="452" spans="1:31" x14ac:dyDescent="0.2">
      <c r="A452" s="31" t="s">
        <v>767</v>
      </c>
      <c r="B452" s="4" t="str">
        <f>$B$46</f>
        <v>From Fiscal Forecasts</v>
      </c>
      <c r="F452" s="62">
        <f>'Fiscal Forecasts'!F$410</f>
        <v>2.5369999999999999</v>
      </c>
      <c r="G452" s="62">
        <f>'Fiscal Forecasts'!G$410</f>
        <v>2.7629999999999999</v>
      </c>
      <c r="H452" s="62">
        <f>'Fiscal Forecasts'!H$410</f>
        <v>3.081</v>
      </c>
      <c r="I452" s="62">
        <f>'Fiscal Forecasts'!I$410</f>
        <v>3.4239999999999999</v>
      </c>
      <c r="J452" s="62">
        <f>'Fiscal Forecasts'!J$410</f>
        <v>5.351</v>
      </c>
      <c r="K452" s="62">
        <f>'Fiscal Forecasts'!K$410</f>
        <v>4.9649999999999999</v>
      </c>
      <c r="L452" s="62">
        <f>'Fiscal Forecasts'!L$410</f>
        <v>4.492</v>
      </c>
      <c r="M452" s="62">
        <f>'Fiscal Forecasts'!M$410</f>
        <v>4.2080000000000002</v>
      </c>
      <c r="N452" s="62">
        <f>'Fiscal Forecasts'!N$410</f>
        <v>4.8550000000000004</v>
      </c>
      <c r="O452" s="70">
        <f>'Fiscal Forecasts'!O$410</f>
        <v>4.492</v>
      </c>
      <c r="P452" s="70">
        <f>'Fiscal Forecasts'!P$410</f>
        <v>3.9169999999999998</v>
      </c>
      <c r="Q452" s="70">
        <f>'Fiscal Forecasts'!Q$410</f>
        <v>3.6789999999999998</v>
      </c>
      <c r="R452" s="70">
        <f>'Fiscal Forecasts'!R$410</f>
        <v>3.5630000000000002</v>
      </c>
      <c r="S452" s="70">
        <f>'Fiscal Forecasts'!S$410</f>
        <v>3.387</v>
      </c>
      <c r="T452" s="11">
        <f ca="1">(S$452/S$11+IF(T$1&gt;0,T$1*IF(T$4=OFFSET(Choices!$B$10,0,$C$1),SUMPRODUCT(OFFSET(S$452,0,0,1,-OFFSET(Choices!$B$59,0,$C$1)),OFFSET(S$13,0,0,1,-OFFSET(Choices!$B$59,0,$C$1)))/OFFSET(Choices!$B$59,0,$C$1)-S$452/S$11,(S$452/S$11-R$452/R$11)/S$1),0))*T$11</f>
        <v>3.6477755797400562</v>
      </c>
      <c r="U452" s="11">
        <f ca="1">(T$452/T$11+IF(U$1&gt;0,U$1*IF(U$4=OFFSET(Choices!$B$10,0,$C$1),SUMPRODUCT(OFFSET(T$452,0,0,1,-OFFSET(Choices!$B$59,0,$C$1)),OFFSET(T$13,0,0,1,-OFFSET(Choices!$B$59,0,$C$1)))/OFFSET(Choices!$B$59,0,$C$1)-T$452/T$11,(T$452/T$11-S$452/S$11)/T$1),0))*U$11</f>
        <v>3.9016770704570174</v>
      </c>
      <c r="V452" s="11">
        <f ca="1">(U$452/U$11+IF(V$1&gt;0,V$1*IF(V$4=OFFSET(Choices!$B$10,0,$C$1),SUMPRODUCT(OFFSET(U$452,0,0,1,-OFFSET(Choices!$B$59,0,$C$1)),OFFSET(U$13,0,0,1,-OFFSET(Choices!$B$59,0,$C$1)))/OFFSET(Choices!$B$59,0,$C$1)-U$452/U$11,(U$452/U$11-T$452/T$11)/U$1),0))*V$11</f>
        <v>4.1490740190699809</v>
      </c>
      <c r="W452" s="11">
        <f ca="1">(V$452/V$11+IF(W$1&gt;0,W$1*IF(W$4=OFFSET(Choices!$B$10,0,$C$1),SUMPRODUCT(OFFSET(V$452,0,0,1,-OFFSET(Choices!$B$59,0,$C$1)),OFFSET(V$13,0,0,1,-OFFSET(Choices!$B$59,0,$C$1)))/OFFSET(Choices!$B$59,0,$C$1)-V$452/V$11,(V$452/V$11-U$452/U$11)/V$1),0))*W$11</f>
        <v>4.3842641822015986</v>
      </c>
      <c r="X452" s="11">
        <f ca="1">(W$452/W$11+IF(X$1&gt;0,X$1*IF(X$4=OFFSET(Choices!$B$10,0,$C$1),SUMPRODUCT(OFFSET(W$452,0,0,1,-OFFSET(Choices!$B$59,0,$C$1)),OFFSET(W$13,0,0,1,-OFFSET(Choices!$B$59,0,$C$1)))/OFFSET(Choices!$B$59,0,$C$1)-W$452/W$11,(W$452/W$11-V$452/V$11)/W$1),0))*X$11</f>
        <v>4.6052750631960704</v>
      </c>
      <c r="Y452" s="11">
        <f ca="1">(X$452/X$11+IF(Y$1&gt;0,Y$1*IF(Y$4=OFFSET(Choices!$B$10,0,$C$1),SUMPRODUCT(OFFSET(X$452,0,0,1,-OFFSET(Choices!$B$59,0,$C$1)),OFFSET(X$13,0,0,1,-OFFSET(Choices!$B$59,0,$C$1)))/OFFSET(Choices!$B$59,0,$C$1)-X$452/X$11,(X$452/X$11-W$452/W$11)/X$1),0))*Y$11</f>
        <v>4.8074620954468852</v>
      </c>
      <c r="Z452" s="11">
        <f ca="1">(Y$452/Y$11+IF(Z$1&gt;0,Z$1*IF(Z$4=OFFSET(Choices!$B$10,0,$C$1),SUMPRODUCT(OFFSET(Y$452,0,0,1,-OFFSET(Choices!$B$59,0,$C$1)),OFFSET(Y$13,0,0,1,-OFFSET(Choices!$B$59,0,$C$1)))/OFFSET(Choices!$B$59,0,$C$1)-Y$452/Y$11,(Y$452/Y$11-X$452/X$11)/Y$1),0))*Z$11</f>
        <v>5.0155696706041057</v>
      </c>
      <c r="AA452" s="11">
        <f ca="1">(Z$452/Z$11+IF(AA$1&gt;0,AA$1*IF(AA$4=OFFSET(Choices!$B$10,0,$C$1),SUMPRODUCT(OFFSET(Z$452,0,0,1,-OFFSET(Choices!$B$59,0,$C$1)),OFFSET(Z$13,0,0,1,-OFFSET(Choices!$B$59,0,$C$1)))/OFFSET(Choices!$B$59,0,$C$1)-Z$452/Z$11,(Z$452/Z$11-Y$452/Y$11)/Z$1),0))*AA$11</f>
        <v>5.229744203647976</v>
      </c>
      <c r="AB452" s="11">
        <f ca="1">(AA$452/AA$11+IF(AB$1&gt;0,AB$1*IF(AB$4=OFFSET(Choices!$B$10,0,$C$1),SUMPRODUCT(OFFSET(AA$452,0,0,1,-OFFSET(Choices!$B$59,0,$C$1)),OFFSET(AA$13,0,0,1,-OFFSET(Choices!$B$59,0,$C$1)))/OFFSET(Choices!$B$59,0,$C$1)-AA$452/AA$11,(AA$452/AA$11-Z$452/Z$11)/AA$1),0))*AB$11</f>
        <v>5.4491586536905583</v>
      </c>
      <c r="AC452" s="11">
        <f ca="1">(AB$452/AB$11+IF(AC$1&gt;0,AC$1*IF(AC$4=OFFSET(Choices!$B$10,0,$C$1),SUMPRODUCT(OFFSET(AB$452,0,0,1,-OFFSET(Choices!$B$59,0,$C$1)),OFFSET(AB$13,0,0,1,-OFFSET(Choices!$B$59,0,$C$1)))/OFFSET(Choices!$B$59,0,$C$1)-AB$452/AB$11,(AB$452/AB$11-AA$452/AA$11)/AB$1),0))*AC$11</f>
        <v>5.6749565458187297</v>
      </c>
      <c r="AD452" s="26"/>
      <c r="AE452" s="26"/>
    </row>
    <row r="453" spans="1:31" x14ac:dyDescent="0.2">
      <c r="A453" s="31" t="s">
        <v>768</v>
      </c>
      <c r="B453" s="4" t="str">
        <f>$B$46</f>
        <v>From Fiscal Forecasts</v>
      </c>
      <c r="F453" s="23">
        <f>'Fiscal Forecasts'!F$132</f>
        <v>4.5599999999999996</v>
      </c>
      <c r="G453" s="23">
        <f>'Fiscal Forecasts'!G$132</f>
        <v>4.7530000000000001</v>
      </c>
      <c r="H453" s="23">
        <f>'Fiscal Forecasts'!H$132</f>
        <v>5.5529999999999999</v>
      </c>
      <c r="I453" s="23">
        <f>'Fiscal Forecasts'!I$132</f>
        <v>5.984</v>
      </c>
      <c r="J453" s="23">
        <f>'Fiscal Forecasts'!J$132</f>
        <v>7.5860000000000003</v>
      </c>
      <c r="K453" s="23">
        <f>'Fiscal Forecasts'!K$132</f>
        <v>7.5060000000000002</v>
      </c>
      <c r="L453" s="23">
        <f>'Fiscal Forecasts'!L$132</f>
        <v>7.1379999999999999</v>
      </c>
      <c r="M453" s="23">
        <f>'Fiscal Forecasts'!M$132</f>
        <v>6.9550000000000001</v>
      </c>
      <c r="N453" s="23">
        <f>'Fiscal Forecasts'!N$132</f>
        <v>7.2210000000000001</v>
      </c>
      <c r="O453" s="25">
        <f>'Fiscal Forecasts'!O$132</f>
        <v>6.95</v>
      </c>
      <c r="P453" s="25">
        <f>'Fiscal Forecasts'!P$132</f>
        <v>6.6289999999999996</v>
      </c>
      <c r="Q453" s="25">
        <f>'Fiscal Forecasts'!Q$132</f>
        <v>6.5380000000000003</v>
      </c>
      <c r="R453" s="25">
        <f>'Fiscal Forecasts'!R$132</f>
        <v>6.4640000000000004</v>
      </c>
      <c r="S453" s="25">
        <f>'Fiscal Forecasts'!S$132</f>
        <v>6.4390000000000001</v>
      </c>
      <c r="T453" s="11">
        <f ca="1">((S$453-S$452)/S$11+IF(T$1&gt;0,T$1*IF(T$4=OFFSET(Choices!$B$10,0,$C$1),(SUMPRODUCT(OFFSET(S$453,0,0,1,-OFFSET(Choices!$B$59,0,$C$1)),OFFSET(S$13,0,0,1,-OFFSET(Choices!$B$59,0,$C$1)))-SUMPRODUCT(OFFSET(S$452,0,0,1,-OFFSET(Choices!$B$59,0,$C$1)),OFFSET(S$13,0,0,1,-OFFSET(Choices!$B$59,0,$C$1))))/OFFSET(Choices!$B$59,0,$C$1)-(S$453-S$452)/S$11,((S$453-S$452)/S$11-(R$453-R$452)/R$11)/S$1),0))*T$11 +T$452</f>
        <v>6.8395680848139255</v>
      </c>
      <c r="U453" s="11">
        <f ca="1">((T$453-T$452)/T$11+IF(U$1&gt;0,U$1*IF(U$4=OFFSET(Choices!$B$10,0,$C$1),(SUMPRODUCT(OFFSET(T$453,0,0,1,-OFFSET(Choices!$B$59,0,$C$1)),OFFSET(T$13,0,0,1,-OFFSET(Choices!$B$59,0,$C$1)))-SUMPRODUCT(OFFSET(T$452,0,0,1,-OFFSET(Choices!$B$59,0,$C$1)),OFFSET(T$13,0,0,1,-OFFSET(Choices!$B$59,0,$C$1))))/OFFSET(Choices!$B$59,0,$C$1)-(T$453-T$452)/T$11,((T$453-T$452)/T$11-(S$453-S$452)/S$11)/T$1),0))*U$11 +U$452</f>
        <v>7.2385102460085076</v>
      </c>
      <c r="V453" s="11">
        <f ca="1">((U$453-U$452)/U$11+IF(V$1&gt;0,V$1*IF(V$4=OFFSET(Choices!$B$10,0,$C$1),(SUMPRODUCT(OFFSET(U$453,0,0,1,-OFFSET(Choices!$B$59,0,$C$1)),OFFSET(U$13,0,0,1,-OFFSET(Choices!$B$59,0,$C$1)))-SUMPRODUCT(OFFSET(U$452,0,0,1,-OFFSET(Choices!$B$59,0,$C$1)),OFFSET(U$13,0,0,1,-OFFSET(Choices!$B$59,0,$C$1))))/OFFSET(Choices!$B$59,0,$C$1)-(U$453-U$452)/U$11,((U$453-U$452)/U$11-(T$453-T$452)/T$11)/U$1),0))*V$11 +V$452</f>
        <v>7.6384784042774951</v>
      </c>
      <c r="W453" s="11">
        <f ca="1">((V$453-V$452)/V$11+IF(W$1&gt;0,W$1*IF(W$4=OFFSET(Choices!$B$10,0,$C$1),(SUMPRODUCT(OFFSET(V$453,0,0,1,-OFFSET(Choices!$B$59,0,$C$1)),OFFSET(V$13,0,0,1,-OFFSET(Choices!$B$59,0,$C$1)))-SUMPRODUCT(OFFSET(V$452,0,0,1,-OFFSET(Choices!$B$59,0,$C$1)),OFFSET(V$13,0,0,1,-OFFSET(Choices!$B$59,0,$C$1))))/OFFSET(Choices!$B$59,0,$C$1)-(V$453-V$452)/V$11,((V$453-V$452)/V$11-(U$453-U$452)/U$11)/V$1),0))*W$11 +W$452</f>
        <v>8.0310878527859053</v>
      </c>
      <c r="X453" s="11">
        <f ca="1">((W$453-W$452)/W$11+IF(X$1&gt;0,X$1*IF(X$4=OFFSET(Choices!$B$10,0,$C$1),(SUMPRODUCT(OFFSET(W$453,0,0,1,-OFFSET(Choices!$B$59,0,$C$1)),OFFSET(W$13,0,0,1,-OFFSET(Choices!$B$59,0,$C$1)))-SUMPRODUCT(OFFSET(W$452,0,0,1,-OFFSET(Choices!$B$59,0,$C$1)),OFFSET(W$13,0,0,1,-OFFSET(Choices!$B$59,0,$C$1))))/OFFSET(Choices!$B$59,0,$C$1)-(W$453-W$452)/W$11,((W$453-W$452)/W$11-(V$453-V$452)/V$11)/W$1),0))*X$11 +X$452</f>
        <v>8.4150916961065594</v>
      </c>
      <c r="Y453" s="11">
        <f ca="1">((X$453-X$452)/X$11+IF(Y$1&gt;0,Y$1*IF(Y$4=OFFSET(Choices!$B$10,0,$C$1),(SUMPRODUCT(OFFSET(X$453,0,0,1,-OFFSET(Choices!$B$59,0,$C$1)),OFFSET(X$13,0,0,1,-OFFSET(Choices!$B$59,0,$C$1)))-SUMPRODUCT(OFFSET(X$452,0,0,1,-OFFSET(Choices!$B$59,0,$C$1)),OFFSET(X$13,0,0,1,-OFFSET(Choices!$B$59,0,$C$1))))/OFFSET(Choices!$B$59,0,$C$1)-(X$453-X$452)/X$11,((X$453-X$452)/X$11-(W$453-W$452)/W$11)/X$1),0))*Y$11 +Y$452</f>
        <v>8.7845424656711177</v>
      </c>
      <c r="Z453" s="11">
        <f ca="1">((Y$453-Y$452)/Y$11+IF(Z$1&gt;0,Z$1*IF(Z$4=OFFSET(Choices!$B$10,0,$C$1),(SUMPRODUCT(OFFSET(Y$453,0,0,1,-OFFSET(Choices!$B$59,0,$C$1)),OFFSET(Y$13,0,0,1,-OFFSET(Choices!$B$59,0,$C$1)))-SUMPRODUCT(OFFSET(Y$452,0,0,1,-OFFSET(Choices!$B$59,0,$C$1)),OFFSET(Y$13,0,0,1,-OFFSET(Choices!$B$59,0,$C$1))))/OFFSET(Choices!$B$59,0,$C$1)-(Y$453-Y$452)/Y$11,((Y$453-Y$452)/Y$11-(X$453-X$452)/X$11)/Y$1),0))*Z$11 +Z$452</f>
        <v>9.1648116794685297</v>
      </c>
      <c r="AA453" s="11">
        <f ca="1">((Z$453-Z$452)/Z$11+IF(AA$1&gt;0,AA$1*IF(AA$4=OFFSET(Choices!$B$10,0,$C$1),(SUMPRODUCT(OFFSET(Z$453,0,0,1,-OFFSET(Choices!$B$59,0,$C$1)),OFFSET(Z$13,0,0,1,-OFFSET(Choices!$B$59,0,$C$1)))-SUMPRODUCT(OFFSET(Z$452,0,0,1,-OFFSET(Choices!$B$59,0,$C$1)),OFFSET(Z$13,0,0,1,-OFFSET(Choices!$B$59,0,$C$1))))/OFFSET(Choices!$B$59,0,$C$1)-(Z$453-Z$452)/Z$11,((Z$453-Z$452)/Z$11-(Y$453-Y$452)/Y$11)/Z$1),0))*AA$11 +AA$452</f>
        <v>9.5561668775409281</v>
      </c>
      <c r="AB453" s="11">
        <f ca="1">((AA$453-AA$452)/AA$11+IF(AB$1&gt;0,AB$1*IF(AB$4=OFFSET(Choices!$B$10,0,$C$1),(SUMPRODUCT(OFFSET(AA$453,0,0,1,-OFFSET(Choices!$B$59,0,$C$1)),OFFSET(AA$13,0,0,1,-OFFSET(Choices!$B$59,0,$C$1)))-SUMPRODUCT(OFFSET(AA$452,0,0,1,-OFFSET(Choices!$B$59,0,$C$1)),OFFSET(AA$13,0,0,1,-OFFSET(Choices!$B$59,0,$C$1))))/OFFSET(Choices!$B$59,0,$C$1)-(AA$453-AA$452)/AA$11,((AA$453-AA$452)/AA$11-(Z$453-Z$452)/Z$11)/AA$1),0))*AB$11 +AB$452</f>
        <v>9.9570968309578092</v>
      </c>
      <c r="AC453" s="11">
        <f ca="1">((AB$453-AB$452)/AB$11+IF(AC$1&gt;0,AC$1*IF(AC$4=OFFSET(Choices!$B$10,0,$C$1),(SUMPRODUCT(OFFSET(AB$453,0,0,1,-OFFSET(Choices!$B$59,0,$C$1)),OFFSET(AB$13,0,0,1,-OFFSET(Choices!$B$59,0,$C$1)))-SUMPRODUCT(OFFSET(AB$452,0,0,1,-OFFSET(Choices!$B$59,0,$C$1)),OFFSET(AB$13,0,0,1,-OFFSET(Choices!$B$59,0,$C$1))))/OFFSET(Choices!$B$59,0,$C$1)-(AB$453-AB$452)/AB$11,((AB$453-AB$452)/AB$11-(AA$453-AA$452)/AA$11)/AB$1),0))*AC$11 +AC$452</f>
        <v>10.369691071469354</v>
      </c>
      <c r="AD453" s="26"/>
      <c r="AE453" s="26"/>
    </row>
    <row r="454" spans="1:31" x14ac:dyDescent="0.2">
      <c r="B454" s="4"/>
      <c r="AD454" s="26"/>
      <c r="AE454" s="26"/>
    </row>
    <row r="455" spans="1:31" ht="15.75" x14ac:dyDescent="0.25">
      <c r="A455" s="1" t="s">
        <v>824</v>
      </c>
      <c r="AD455" s="26"/>
      <c r="AE455" s="26"/>
    </row>
    <row r="456" spans="1:31" x14ac:dyDescent="0.2">
      <c r="A456" s="3" t="s">
        <v>260</v>
      </c>
      <c r="B456" s="4" t="str">
        <f t="shared" ref="B456:B462" si="244">$B$46</f>
        <v>From Fiscal Forecasts</v>
      </c>
      <c r="F456" s="21">
        <f>'Fiscal Forecasts'!F$421</f>
        <v>53.277999999999999</v>
      </c>
      <c r="G456" s="21">
        <f>'Fiscal Forecasts'!G$421</f>
        <v>55.975000000000001</v>
      </c>
      <c r="H456" s="21">
        <f>'Fiscal Forecasts'!H$421</f>
        <v>51.362000000000002</v>
      </c>
      <c r="I456" s="21">
        <f>'Fiscal Forecasts'!I$421</f>
        <v>50.631</v>
      </c>
      <c r="J456" s="21">
        <f>'Fiscal Forecasts'!J$421</f>
        <v>51.454000000000001</v>
      </c>
      <c r="K456" s="21">
        <f>'Fiscal Forecasts'!K$421</f>
        <v>54.249000000000002</v>
      </c>
      <c r="L456" s="21">
        <f>'Fiscal Forecasts'!L$421</f>
        <v>57.808</v>
      </c>
      <c r="M456" s="21">
        <f>'Fiscal Forecasts'!M$421</f>
        <v>61.320999999999998</v>
      </c>
      <c r="N456" s="21">
        <f>'Fiscal Forecasts'!N$421 +IF($D$2="Yes",'Fiscal Forecast Adjuster'!E$15,0)/1000</f>
        <v>66.347999999999999</v>
      </c>
      <c r="O456" s="24">
        <f>'Fiscal Forecasts'!O$421 +IF($D$2="Yes",'Fiscal Forecast Adjuster'!F$15,0)/1000</f>
        <v>67.265000000000001</v>
      </c>
      <c r="P456" s="24">
        <f>'Fiscal Forecasts'!P$421 +IF($D$2="Yes",'Fiscal Forecast Adjuster'!G$15,0)/1000</f>
        <v>69.912999999999997</v>
      </c>
      <c r="Q456" s="24">
        <f>'Fiscal Forecasts'!Q$421 +IF($D$2="Yes",'Fiscal Forecast Adjuster'!H$15,0)/1000</f>
        <v>74.561999999999998</v>
      </c>
      <c r="R456" s="24">
        <f>'Fiscal Forecasts'!R$421 +IF($D$2="Yes",'Fiscal Forecast Adjuster'!I$15,0)/1000</f>
        <v>79.350999999999999</v>
      </c>
      <c r="S456" s="24">
        <f>'Fiscal Forecasts'!S$421 +IF($D$2="Yes",'Fiscal Forecast Adjuster'!J$15,0)/1000</f>
        <v>83.463999999999999</v>
      </c>
      <c r="T456" s="26">
        <f t="shared" ref="T456:AC456" ca="1" si="245">(S$456-S$363)*T$142/S$142+T$363</f>
        <v>87.415567566916806</v>
      </c>
      <c r="U456" s="26">
        <f t="shared" ca="1" si="245"/>
        <v>91.478501004539865</v>
      </c>
      <c r="V456" s="26">
        <f t="shared" ca="1" si="245"/>
        <v>95.799347344513052</v>
      </c>
      <c r="W456" s="26">
        <f t="shared" ca="1" si="245"/>
        <v>100.26654906770165</v>
      </c>
      <c r="X456" s="26">
        <f t="shared" ca="1" si="245"/>
        <v>104.73296837627571</v>
      </c>
      <c r="Y456" s="26">
        <f t="shared" ca="1" si="245"/>
        <v>109.38887762199394</v>
      </c>
      <c r="Z456" s="26">
        <f t="shared" ca="1" si="245"/>
        <v>114.17923019682196</v>
      </c>
      <c r="AA456" s="26">
        <f t="shared" ca="1" si="245"/>
        <v>119.1068665491695</v>
      </c>
      <c r="AB456" s="26">
        <f t="shared" ca="1" si="245"/>
        <v>124.15308139406751</v>
      </c>
      <c r="AC456" s="26">
        <f t="shared" ca="1" si="245"/>
        <v>129.34395490535059</v>
      </c>
      <c r="AD456" s="26"/>
      <c r="AE456" s="26"/>
    </row>
    <row r="457" spans="1:31" x14ac:dyDescent="0.2">
      <c r="A457" s="3" t="s">
        <v>261</v>
      </c>
      <c r="B457" s="4" t="str">
        <f t="shared" si="244"/>
        <v>From Fiscal Forecasts</v>
      </c>
      <c r="F457" s="21">
        <f>'Fiscal Forecasts'!F$422</f>
        <v>0.39500000000000002</v>
      </c>
      <c r="G457" s="21">
        <f>'Fiscal Forecasts'!G$422</f>
        <v>0.48599999999999999</v>
      </c>
      <c r="H457" s="21">
        <f>'Fiscal Forecasts'!H$422</f>
        <v>0.48899999999999999</v>
      </c>
      <c r="I457" s="21">
        <f>'Fiscal Forecasts'!I$422</f>
        <v>0.56599999999999995</v>
      </c>
      <c r="J457" s="21">
        <f>'Fiscal Forecasts'!J$422</f>
        <v>0.64600000000000002</v>
      </c>
      <c r="K457" s="21">
        <f>'Fiscal Forecasts'!K$422</f>
        <v>0.67</v>
      </c>
      <c r="L457" s="21">
        <f>'Fiscal Forecasts'!L$422</f>
        <v>0.65100000000000002</v>
      </c>
      <c r="M457" s="21">
        <f>'Fiscal Forecasts'!M$422</f>
        <v>0.747</v>
      </c>
      <c r="N457" s="21">
        <f>'Fiscal Forecasts'!N$422</f>
        <v>0.88900000000000001</v>
      </c>
      <c r="O457" s="24">
        <f>'Fiscal Forecasts'!O$422</f>
        <v>0.83899999999999997</v>
      </c>
      <c r="P457" s="24">
        <f>'Fiscal Forecasts'!P$422</f>
        <v>0.85699999999999998</v>
      </c>
      <c r="Q457" s="24">
        <f>'Fiscal Forecasts'!Q$422</f>
        <v>0.86899999999999999</v>
      </c>
      <c r="R457" s="24">
        <f>'Fiscal Forecasts'!R$422</f>
        <v>0.88300000000000001</v>
      </c>
      <c r="S457" s="24">
        <f>'Fiscal Forecasts'!S$422</f>
        <v>0.89400000000000002</v>
      </c>
      <c r="T457" s="26">
        <f ca="1">IF(T$4=OFFSET(Choices!$B$10,0,$C$1),AVERAGE(Q$457/Q$149,R$457/R$149,S$457/S$149),S$457/S$149)*T$149</f>
        <v>0.93094097464609571</v>
      </c>
      <c r="U457" s="26">
        <f ca="1">IF(U$4=OFFSET(Choices!$B$10,0,$C$1),AVERAGE(R$457/R$149,S$457/S$149,T$457/T$149),T$457/T$149)*U$149</f>
        <v>0.96863862873741136</v>
      </c>
      <c r="V457" s="26">
        <f ca="1">IF(V$4=OFFSET(Choices!$B$10,0,$C$1),AVERAGE(S$457/S$149,T$457/T$149,U$457/U$149),U$457/U$149)*V$149</f>
        <v>1.0083944608385158</v>
      </c>
      <c r="W457" s="26">
        <f ca="1">IF(W$4=OFFSET(Choices!$B$10,0,$C$1),AVERAGE(T$457/T$149,U$457/U$149,V$457/V$149),V$457/V$149)*W$149</f>
        <v>1.0495766897909391</v>
      </c>
      <c r="X457" s="26">
        <f ca="1">IF(X$4=OFFSET(Choices!$B$10,0,$C$1),AVERAGE(U$457/U$149,V$457/V$149,W$457/W$149),W$457/W$149)*X$149</f>
        <v>1.0923924741810824</v>
      </c>
      <c r="Y457" s="26">
        <f ca="1">IF(Y$4=OFFSET(Choices!$B$10,0,$C$1),AVERAGE(V$457/V$149,W$457/W$149,X$457/X$149),X$457/X$149)*Y$149</f>
        <v>1.1365541372122197</v>
      </c>
      <c r="Z457" s="26">
        <f ca="1">IF(Z$4=OFFSET(Choices!$B$10,0,$C$1),AVERAGE(W$457/W$149,X$457/X$149,Y$457/Y$149),Y$457/Y$149)*Z$149</f>
        <v>1.1819794662191752</v>
      </c>
      <c r="AA457" s="26">
        <f ca="1">IF(AA$4=OFFSET(Choices!$B$10,0,$C$1),AVERAGE(X$457/X$149,Y$457/Y$149,Z$457/Z$149),Z$457/Z$149)*AA$149</f>
        <v>1.2286994110300844</v>
      </c>
      <c r="AB457" s="26">
        <f ca="1">IF(AB$4=OFFSET(Choices!$B$10,0,$C$1),AVERAGE(Y$457/Y$149,Z$457/Z$149,AA$457/AA$149),AA$457/AA$149)*AB$149</f>
        <v>1.2765476248513266</v>
      </c>
      <c r="AC457" s="26">
        <f ca="1">IF(AC$4=OFFSET(Choices!$B$10,0,$C$1),AVERAGE(Z$457/Z$149,AA$457/AA$149,AB$457/AB$149),AB$457/AB$149)*AC$149</f>
        <v>1.3257572256848738</v>
      </c>
      <c r="AD457" s="26"/>
      <c r="AE457" s="26"/>
    </row>
    <row r="458" spans="1:31" x14ac:dyDescent="0.2">
      <c r="A458" s="3" t="s">
        <v>684</v>
      </c>
      <c r="B458" s="4" t="str">
        <f t="shared" si="244"/>
        <v>From Fiscal Forecasts</v>
      </c>
      <c r="F458" s="21">
        <f>'Fiscal Forecasts'!F$423</f>
        <v>1.8959999999999999</v>
      </c>
      <c r="G458" s="21">
        <f>'Fiscal Forecasts'!G$423</f>
        <v>2.1280000000000001</v>
      </c>
      <c r="H458" s="21">
        <f>'Fiscal Forecasts'!H$423</f>
        <v>1.4410000000000001</v>
      </c>
      <c r="I458" s="21">
        <f>'Fiscal Forecasts'!I$423</f>
        <v>1.897</v>
      </c>
      <c r="J458" s="21">
        <f>'Fiscal Forecasts'!J$423</f>
        <v>1.8169999999999999</v>
      </c>
      <c r="K458" s="21">
        <f>'Fiscal Forecasts'!K$423</f>
        <v>1.431</v>
      </c>
      <c r="L458" s="21">
        <f>'Fiscal Forecasts'!L$423</f>
        <v>1.5529999999999999</v>
      </c>
      <c r="M458" s="21">
        <f>'Fiscal Forecasts'!M$423</f>
        <v>1.627</v>
      </c>
      <c r="N458" s="21">
        <f>'Fiscal Forecasts'!N$423</f>
        <v>1.806</v>
      </c>
      <c r="O458" s="24">
        <f>'Fiscal Forecasts'!O$423</f>
        <v>1.7290000000000001</v>
      </c>
      <c r="P458" s="24">
        <f>'Fiscal Forecasts'!P$423</f>
        <v>1.6779999999999999</v>
      </c>
      <c r="Q458" s="24">
        <f>'Fiscal Forecasts'!Q$423</f>
        <v>1.7949999999999999</v>
      </c>
      <c r="R458" s="24">
        <f>'Fiscal Forecasts'!R$423</f>
        <v>2.0209999999999999</v>
      </c>
      <c r="S458" s="24">
        <f>'Fiscal Forecasts'!S$423</f>
        <v>2.1419999999999999</v>
      </c>
      <c r="T458" s="26">
        <f ca="1">IF(T$4=OFFSET(Choices!$B$10,0,$C$1),AVERAGE(Q$458/(Q$162-Q$392-Q$362),R$458/(R$162-R$392-R$362),S$458/(S$162-S$392-S$362)),S$458/(S$162-S$392-S$362))*(T$162-T$392-T$362)</f>
        <v>1.968940038072327</v>
      </c>
      <c r="U458" s="26">
        <f ca="1">IF(U$4=OFFSET(Choices!$B$10,0,$C$1),AVERAGE(R$458/(R$162-R$392-R$362),S$458/(S$162-S$392-S$362),T$458/(T$162-T$392-T$362)),T$458/(T$162-T$392-T$362))*(U$162-U$392-U$362)</f>
        <v>2.1497511504429982</v>
      </c>
      <c r="V458" s="26">
        <f ca="1">IF(V$4=OFFSET(Choices!$B$10,0,$C$1),AVERAGE(S$458/(S$162-S$392-S$362),T$458/(T$162-T$392-T$362),U$458/(U$162-U$392-U$362)),U$458/(U$162-U$392-U$362))*(V$162-V$392-V$362)</f>
        <v>2.3110396159499378</v>
      </c>
      <c r="W458" s="26">
        <f ca="1">IF(W$4=OFFSET(Choices!$B$10,0,$C$1),AVERAGE(T$458/(T$162-T$392-T$362),U$458/(U$162-U$392-U$362),V$458/(V$162-V$392-V$362)),V$458/(V$162-V$392-V$362))*(W$162-W$392-W$362)</f>
        <v>2.4210280913464217</v>
      </c>
      <c r="X458" s="26">
        <f ca="1">IF(X$4=OFFSET(Choices!$B$10,0,$C$1),AVERAGE(U$458/(U$162-U$392-U$362),V$458/(V$162-V$392-V$362),W$458/(W$162-W$392-W$362)),W$458/(W$162-W$392-W$362))*(X$162-X$392-X$362)</f>
        <v>2.5328784865884133</v>
      </c>
      <c r="Y458" s="26">
        <f ca="1">IF(Y$4=OFFSET(Choices!$B$10,0,$C$1),AVERAGE(V$458/(V$162-V$392-V$362),W$458/(W$162-W$392-W$362),X$458/(X$162-X$392-X$362)),X$458/(X$162-X$392-X$362))*(Y$162-Y$392-Y$362)</f>
        <v>2.6461395970294732</v>
      </c>
      <c r="Z458" s="26">
        <f ca="1">IF(Z$4=OFFSET(Choices!$B$10,0,$C$1),AVERAGE(W$458/(W$162-W$392-W$362),X$458/(X$162-X$392-X$362),Y$458/(Y$162-Y$392-Y$362)),Y$458/(Y$162-Y$392-Y$362))*(Z$162-Z$392-Z$362)</f>
        <v>2.7614829651498898</v>
      </c>
      <c r="AA458" s="26">
        <f ca="1">IF(AA$4=OFFSET(Choices!$B$10,0,$C$1),AVERAGE(X$458/(X$162-X$392-X$362),Y$458/(Y$162-Y$392-Y$362),Z$458/(Z$162-Z$392-Z$362)),Z$458/(Z$162-Z$392-Z$362))*(AA$162-AA$392-AA$362)</f>
        <v>2.8801962988800196</v>
      </c>
      <c r="AB458" s="26">
        <f ca="1">IF(AB$4=OFFSET(Choices!$B$10,0,$C$1),AVERAGE(Y$458/(Y$162-Y$392-Y$362),Z$458/(Z$162-Z$392-Z$362),AA$458/(AA$162-AA$392-AA$362)),AA$458/(AA$162-AA$392-AA$362))*(AB$162-AB$392-AB$362)</f>
        <v>3.0020882584283957</v>
      </c>
      <c r="AC458" s="26">
        <f ca="1">IF(AC$4=OFFSET(Choices!$B$10,0,$C$1),AVERAGE(Z$458/(Z$162-Z$392-Z$362),AA$458/(AA$162-AA$392-AA$362),AB$458/(AB$162-AB$392-AB$362)),AB$458/(AB$162-AB$392-AB$362))*(AC$162-AC$392-AC$362)</f>
        <v>3.1272478148728813</v>
      </c>
      <c r="AD458" s="26"/>
      <c r="AE458" s="26"/>
    </row>
    <row r="459" spans="1:31" x14ac:dyDescent="0.2">
      <c r="A459" s="3" t="s">
        <v>724</v>
      </c>
      <c r="B459" s="4" t="str">
        <f t="shared" si="244"/>
        <v>From Fiscal Forecasts</v>
      </c>
      <c r="F459" s="21">
        <f>'Fiscal Forecasts'!F$424</f>
        <v>1.4330000000000001</v>
      </c>
      <c r="G459" s="21">
        <f>'Fiscal Forecasts'!G$424</f>
        <v>1.411</v>
      </c>
      <c r="H459" s="21">
        <f>'Fiscal Forecasts'!H$424</f>
        <v>2.2879999999999998</v>
      </c>
      <c r="I459" s="21">
        <f>'Fiscal Forecasts'!I$424</f>
        <v>2.6579999999999999</v>
      </c>
      <c r="J459" s="21">
        <f>'Fiscal Forecasts'!J$424</f>
        <v>2.0939999999999999</v>
      </c>
      <c r="K459" s="21">
        <f>'Fiscal Forecasts'!K$424</f>
        <v>2.6989999999999998</v>
      </c>
      <c r="L459" s="21">
        <f>'Fiscal Forecasts'!L$424</f>
        <v>2.3849999999999998</v>
      </c>
      <c r="M459" s="21">
        <f>'Fiscal Forecasts'!M$424</f>
        <v>2.3969999999999998</v>
      </c>
      <c r="N459" s="21">
        <f>'Fiscal Forecasts'!N$424</f>
        <v>2.4329999999999998</v>
      </c>
      <c r="O459" s="24">
        <f>'Fiscal Forecasts'!O$424</f>
        <v>2.0019999999999998</v>
      </c>
      <c r="P459" s="24">
        <f>'Fiscal Forecasts'!P$424</f>
        <v>2.2919999999999998</v>
      </c>
      <c r="Q459" s="24">
        <f>'Fiscal Forecasts'!Q$424</f>
        <v>1.992</v>
      </c>
      <c r="R459" s="24">
        <f>'Fiscal Forecasts'!R$424</f>
        <v>1.966</v>
      </c>
      <c r="S459" s="24">
        <f>'Fiscal Forecasts'!S$424</f>
        <v>1.956</v>
      </c>
      <c r="T459" s="26">
        <f ca="1">IF(T$4=OFFSET(Choices!$B$10,0,$C$1),AVERAGE((Q$459-(Q$433-P$433))/(Q$155+Q$168),(R$459-(R$433-Q$433))/(R$155+R$168),(S$459-(S$433-R$433))/(S$155+S$168)),(S$459-(S$433-R$433))/(S$155+S$168))*(T$155+T$168)+T$433-S$433</f>
        <v>2.1327794996565412</v>
      </c>
      <c r="U459" s="26">
        <f ca="1">IF(U$4=OFFSET(Choices!$B$10,0,$C$1),AVERAGE((R$459-(R$433-Q$433))/(R$155+R$168),(S$459-(S$433-R$433))/(S$155+S$168),(T$459-(T$433-S$433))/(T$155+T$168)),(T$459-(T$433-S$433))/(T$155+T$168))*(U$155+U$168)+U$433-T$433</f>
        <v>2.2245488267113318</v>
      </c>
      <c r="V459" s="26">
        <f ca="1">IF(V$4=OFFSET(Choices!$B$10,0,$C$1),AVERAGE((S$459-(S$433-R$433))/(S$155+S$168),(T$459-(T$433-S$433))/(T$155+T$168),(U$459-(U$433-T$433))/(U$155+U$168)),(U$459-(U$433-T$433))/(U$155+U$168))*(V$155+V$168)+V$433-U$433</f>
        <v>2.3216502313630247</v>
      </c>
      <c r="W459" s="26">
        <f ca="1">IF(W$4=OFFSET(Choices!$B$10,0,$C$1),AVERAGE((T$459-(T$433-S$433))/(T$155+T$168),(U$459-(U$433-T$433))/(U$155+U$168),(V$459-(V$433-U$433))/(V$155+V$168)),(V$459-(V$433-U$433))/(V$155+V$168))*(W$155+W$168)+W$433-V$433</f>
        <v>2.4216234248800941</v>
      </c>
      <c r="X459" s="26">
        <f ca="1">IF(X$4=OFFSET(Choices!$B$10,0,$C$1),AVERAGE((U$459-(U$433-T$433))/(U$155+U$168),(V$459-(V$433-U$433))/(V$155+V$168),(W$459-(W$433-V$433))/(W$155+W$168)),(W$459-(W$433-V$433))/(W$155+W$168))*(X$155+X$168)+X$433-W$433</f>
        <v>2.5254792250601943</v>
      </c>
      <c r="Y459" s="26">
        <f ca="1">IF(Y$4=OFFSET(Choices!$B$10,0,$C$1),AVERAGE((V$459-(V$433-U$433))/(V$155+V$168),(W$459-(W$433-V$433))/(W$155+W$168),(X$459-(X$433-W$433))/(X$155+X$168)),(X$459-(X$433-W$433))/(X$155+X$168))*(Y$155+Y$168)+Y$433-X$433</f>
        <v>2.6321022611320748</v>
      </c>
      <c r="Z459" s="26">
        <f ca="1">IF(Z$4=OFFSET(Choices!$B$10,0,$C$1),AVERAGE((W$459-(W$433-V$433))/(W$155+W$168),(X$459-(X$433-W$433))/(X$155+X$168),(Y$459-(Y$433-X$433))/(Y$155+Y$168)),(Y$459-(Y$433-X$433))/(Y$155+Y$168))*(Z$155+Z$168)+Z$433-Y$433</f>
        <v>2.7456849236229712</v>
      </c>
      <c r="AA459" s="26">
        <f ca="1">IF(AA$4=OFFSET(Choices!$B$10,0,$C$1),AVERAGE((X$459-(X$433-W$433))/(X$155+X$168),(Y$459-(Y$433-X$433))/(Y$155+Y$168),(Z$459-(Z$433-Y$433))/(Z$155+Z$168)),(Z$459-(Z$433-Y$433))/(Z$155+Z$168))*(AA$155+AA$168)+AA$433-Z$433</f>
        <v>2.8625755593411681</v>
      </c>
      <c r="AB459" s="26">
        <f ca="1">IF(AB$4=OFFSET(Choices!$B$10,0,$C$1),AVERAGE((Y$459-(Y$433-X$433))/(Y$155+Y$168),(Z$459-(Z$433-Y$433))/(Z$155+Z$168),(AA$459-(AA$433-Z$433))/(AA$155+AA$168)),(AA$459-(AA$433-Z$433))/(AA$155+AA$168))*(AB$155+AB$168)+AB$433-AA$433</f>
        <v>2.9822030375675608</v>
      </c>
      <c r="AC459" s="26">
        <f ca="1">IF(AC$4=OFFSET(Choices!$B$10,0,$C$1),AVERAGE((Z$459-(Z$433-Y$433))/(Z$155+Z$168),(AA$459-(AA$433-Z$433))/(AA$155+AA$168),(AB$459-(AB$433-AA$433))/(AB$155+AB$168)),(AB$459-(AB$433-AA$433))/(AB$155+AB$168))*(AC$155+AC$168)+AC$433-AB$433</f>
        <v>3.1054357765448226</v>
      </c>
      <c r="AD459" s="26"/>
      <c r="AE459" s="26"/>
    </row>
    <row r="460" spans="1:31" x14ac:dyDescent="0.2">
      <c r="A460" s="3" t="s">
        <v>229</v>
      </c>
      <c r="B460" s="4" t="str">
        <f t="shared" si="244"/>
        <v>From Fiscal Forecasts</v>
      </c>
      <c r="F460" s="21">
        <f>'Fiscal Forecasts'!F$425</f>
        <v>-17.234000000000002</v>
      </c>
      <c r="G460" s="21">
        <f>'Fiscal Forecasts'!G$425</f>
        <v>-19.562000000000001</v>
      </c>
      <c r="H460" s="21">
        <f>'Fiscal Forecasts'!H$425</f>
        <v>-19.952999999999999</v>
      </c>
      <c r="I460" s="21">
        <f>'Fiscal Forecasts'!I$425</f>
        <v>-21.605</v>
      </c>
      <c r="J460" s="21">
        <f>'Fiscal Forecasts'!J$425</f>
        <v>-22.225999999999999</v>
      </c>
      <c r="K460" s="21">
        <f>'Fiscal Forecasts'!K$425</f>
        <v>-22.853999999999999</v>
      </c>
      <c r="L460" s="21">
        <f>'Fiscal Forecasts'!L$425</f>
        <v>-22.78</v>
      </c>
      <c r="M460" s="21">
        <f>'Fiscal Forecasts'!M$425</f>
        <v>-23.446999999999999</v>
      </c>
      <c r="N460" s="21">
        <f>'Fiscal Forecasts'!N$425 +IF($D$2="Yes",-'Fiscal Forecast Adjuster'!E$28,0)/1000</f>
        <v>-23.895</v>
      </c>
      <c r="O460" s="24">
        <f>'Fiscal Forecasts'!O$425 +IF($D$2="Yes",-'Fiscal Forecast Adjuster'!F$28,0)/1000</f>
        <v>-24.489000000000001</v>
      </c>
      <c r="P460" s="24">
        <f>'Fiscal Forecasts'!P$425 +IF($D$2="Yes",-'Fiscal Forecast Adjuster'!G$28,0)/1000</f>
        <v>-25.538</v>
      </c>
      <c r="Q460" s="24">
        <f>'Fiscal Forecasts'!Q$425 +IF($D$2="Yes",-'Fiscal Forecast Adjuster'!H$28,0)/1000</f>
        <v>-26.420999999999999</v>
      </c>
      <c r="R460" s="24">
        <f>'Fiscal Forecasts'!R$425 +IF($D$2="Yes",-'Fiscal Forecast Adjuster'!I$28,0)/1000</f>
        <v>-27.186</v>
      </c>
      <c r="S460" s="24">
        <f>'Fiscal Forecasts'!S$425 +IF($D$2="Yes",-'Fiscal Forecast Adjuster'!J$28,0)/1000</f>
        <v>-28.65</v>
      </c>
      <c r="T460" s="26">
        <f t="shared" ref="T460:AC460" ca="1" si="246">-T$188</f>
        <v>-29.578119587091443</v>
      </c>
      <c r="U460" s="26">
        <f t="shared" ca="1" si="246"/>
        <v>-30.950889287950449</v>
      </c>
      <c r="V460" s="26">
        <f t="shared" ca="1" si="246"/>
        <v>-32.54653928453704</v>
      </c>
      <c r="W460" s="26">
        <f t="shared" ca="1" si="246"/>
        <v>-34.254118644900565</v>
      </c>
      <c r="X460" s="26">
        <f t="shared" ca="1" si="246"/>
        <v>-36.049640414916446</v>
      </c>
      <c r="Y460" s="26">
        <f t="shared" ca="1" si="246"/>
        <v>-37.960719618396332</v>
      </c>
      <c r="Z460" s="26">
        <f t="shared" ca="1" si="246"/>
        <v>-39.975302563065583</v>
      </c>
      <c r="AA460" s="26">
        <f t="shared" ca="1" si="246"/>
        <v>-42.057600488981244</v>
      </c>
      <c r="AB460" s="26">
        <f t="shared" ca="1" si="246"/>
        <v>-44.185218162340163</v>
      </c>
      <c r="AC460" s="26">
        <f t="shared" ca="1" si="246"/>
        <v>-46.326193973471874</v>
      </c>
      <c r="AD460" s="26"/>
      <c r="AE460" s="26"/>
    </row>
    <row r="461" spans="1:31" x14ac:dyDescent="0.2">
      <c r="A461" s="3" t="s">
        <v>685</v>
      </c>
      <c r="B461" s="4" t="str">
        <f t="shared" si="244"/>
        <v>From Fiscal Forecasts</v>
      </c>
      <c r="F461" s="21">
        <f>'Fiscal Forecasts'!F$426</f>
        <v>-28.962</v>
      </c>
      <c r="G461" s="21">
        <f>'Fiscal Forecasts'!G$426</f>
        <v>-30.792000000000002</v>
      </c>
      <c r="H461" s="21">
        <f>'Fiscal Forecasts'!H$426</f>
        <v>-35.393999999999998</v>
      </c>
      <c r="I461" s="21">
        <f>'Fiscal Forecasts'!I$426</f>
        <v>-37.156999999999996</v>
      </c>
      <c r="J461" s="21">
        <f>'Fiscal Forecasts'!J$426</f>
        <v>-40.433</v>
      </c>
      <c r="K461" s="21">
        <f>'Fiscal Forecasts'!K$426</f>
        <v>-40.036000000000001</v>
      </c>
      <c r="L461" s="21">
        <f>'Fiscal Forecasts'!L$426</f>
        <v>-40.411999999999999</v>
      </c>
      <c r="M461" s="21">
        <f>'Fiscal Forecasts'!M$426</f>
        <v>-41.988999999999997</v>
      </c>
      <c r="N461" s="21">
        <f>'Fiscal Forecasts'!N$426</f>
        <v>-42.064</v>
      </c>
      <c r="O461" s="24">
        <f>'Fiscal Forecasts'!O$426</f>
        <v>-44.344999999999999</v>
      </c>
      <c r="P461" s="24">
        <f>'Fiscal Forecasts'!P$426</f>
        <v>-43.463000000000001</v>
      </c>
      <c r="Q461" s="24">
        <f>'Fiscal Forecasts'!Q$426</f>
        <v>-43.826999999999998</v>
      </c>
      <c r="R461" s="24">
        <f>'Fiscal Forecasts'!R$426</f>
        <v>-43.164000000000001</v>
      </c>
      <c r="S461" s="24">
        <f>'Fiscal Forecasts'!S$426</f>
        <v>-43.222999999999999</v>
      </c>
      <c r="T461" s="26">
        <f t="shared" ref="T461:AC461" ca="1" si="247">-(SUM(T$202,T$216-(T$149-T$457),T$232)-T$267-T$364+SUM(T$390,T$393)+SUM(T$397-S$397,T$400-S$400)-SUM(T$429-S$429,T$437-S$437,T$444-S$444+T$334,T$452-S$452))</f>
        <v>-42.304638332577049</v>
      </c>
      <c r="U461" s="26">
        <f t="shared" ca="1" si="247"/>
        <v>-42.380212945736332</v>
      </c>
      <c r="V461" s="26">
        <f t="shared" ca="1" si="247"/>
        <v>-42.458059912263472</v>
      </c>
      <c r="W461" s="26">
        <f t="shared" ca="1" si="247"/>
        <v>-42.537942416912038</v>
      </c>
      <c r="X461" s="26">
        <f t="shared" ca="1" si="247"/>
        <v>-42.62398913674113</v>
      </c>
      <c r="Y461" s="26">
        <f t="shared" ca="1" si="247"/>
        <v>-42.715905014610755</v>
      </c>
      <c r="Z461" s="26">
        <f t="shared" ca="1" si="247"/>
        <v>-42.77896055980527</v>
      </c>
      <c r="AA461" s="26">
        <f t="shared" ca="1" si="247"/>
        <v>-42.844555209717711</v>
      </c>
      <c r="AB461" s="26">
        <f t="shared" ca="1" si="247"/>
        <v>-42.918098436717671</v>
      </c>
      <c r="AC461" s="26">
        <f t="shared" ca="1" si="247"/>
        <v>-42.991971340703529</v>
      </c>
      <c r="AD461" s="26"/>
      <c r="AE461" s="26"/>
    </row>
    <row r="462" spans="1:31" x14ac:dyDescent="0.2">
      <c r="A462" s="3" t="s">
        <v>258</v>
      </c>
      <c r="B462" s="4" t="str">
        <f t="shared" si="244"/>
        <v>From Fiscal Forecasts</v>
      </c>
      <c r="F462" s="21">
        <f>'Fiscal Forecasts'!F$427</f>
        <v>-2.2200000000000002</v>
      </c>
      <c r="G462" s="21">
        <f>'Fiscal Forecasts'!G$427</f>
        <v>-2.3540000000000001</v>
      </c>
      <c r="H462" s="21">
        <f>'Fiscal Forecasts'!H$427</f>
        <v>-2.2000000000000002</v>
      </c>
      <c r="I462" s="21">
        <f>'Fiscal Forecasts'!I$427</f>
        <v>-1.9810000000000001</v>
      </c>
      <c r="J462" s="21">
        <f>'Fiscal Forecasts'!J$427</f>
        <v>-2.637</v>
      </c>
      <c r="K462" s="21">
        <f>'Fiscal Forecasts'!K$427</f>
        <v>-3.3690000000000002</v>
      </c>
      <c r="L462" s="21">
        <f>'Fiscal Forecasts'!L$427</f>
        <v>-3.7290000000000001</v>
      </c>
      <c r="M462" s="21">
        <f>'Fiscal Forecasts'!M$427</f>
        <v>-3.6419999999999999</v>
      </c>
      <c r="N462" s="21">
        <f>'Fiscal Forecasts'!N$427 +IF($D$2="Yes",-'Fiscal Forecast Adjuster'!E$35,0)/1000 +IF($D$3="Yes",-'NZS Fund Adjuster'!N$10,0)</f>
        <v>-3.9220000000000002</v>
      </c>
      <c r="O462" s="24">
        <f>'Fiscal Forecasts'!O$427 +IF($D$2="Yes",-'Fiscal Forecast Adjuster'!F$35,0)/1000 +IF($D$3="Yes",-'NZS Fund Adjuster'!O$10,0)</f>
        <v>-3.64</v>
      </c>
      <c r="P462" s="24">
        <f>'Fiscal Forecasts'!P$427 +IF($D$2="Yes",-'Fiscal Forecast Adjuster'!G$35,0)/1000 +IF($D$3="Yes",-'NZS Fund Adjuster'!P$10,0)</f>
        <v>-3.8479999999999999</v>
      </c>
      <c r="Q462" s="24">
        <f>'Fiscal Forecasts'!Q$427 +IF($D$2="Yes",-'Fiscal Forecast Adjuster'!H$35,0)/1000 +IF($D$3="Yes",-'NZS Fund Adjuster'!Q$10,0)</f>
        <v>-3.9449999999999998</v>
      </c>
      <c r="R462" s="24">
        <f>'Fiscal Forecasts'!R$427 +IF($D$2="Yes",-'Fiscal Forecast Adjuster'!I$35,0)/1000 +IF($D$3="Yes",-'NZS Fund Adjuster'!R$10,0)</f>
        <v>-4.1100000000000003</v>
      </c>
      <c r="S462" s="24">
        <f>'Fiscal Forecasts'!S$427 +IF($D$2="Yes",-'Fiscal Forecast Adjuster'!J$35,0)/1000 +IF($D$3="Yes",-'NZS Fund Adjuster'!S$10,0)</f>
        <v>-3.9049999999999998</v>
      </c>
      <c r="T462" s="26">
        <f ca="1">IF(T$4=OFFSET(Choices!$B$10,0,$C$1),AVERAGE(Q$462/Q$223,R$462/R$223,S$462/S$223),S$462/S$223)*(T$223)</f>
        <v>-4.2507522024118058</v>
      </c>
      <c r="U462" s="26">
        <f ca="1">IF(U$4=OFFSET(Choices!$B$10,0,$C$1),AVERAGE(R$462/R$223,S$462/S$223,T$462/T$223),T$462/T$223)*(U$223)</f>
        <v>-4.2973636680087024</v>
      </c>
      <c r="V462" s="26">
        <f ca="1">IF(V$4=OFFSET(Choices!$B$10,0,$C$1),AVERAGE(S$462/S$223,T$462/T$223,U$462/U$223),U$462/U$223)*(V$223)</f>
        <v>-4.3470327697762601</v>
      </c>
      <c r="W462" s="26">
        <f ca="1">IF(W$4=OFFSET(Choices!$B$10,0,$C$1),AVERAGE(T$462/T$223,U$462/U$223,V$462/V$223),V$462/V$223)*(W$223)</f>
        <v>-4.405205407393896</v>
      </c>
      <c r="X462" s="26">
        <f ca="1">IF(X$4=OFFSET(Choices!$B$10,0,$C$1),AVERAGE(U$462/U$223,V$462/V$223,W$462/W$223),W$462/W$223)*(X$223)</f>
        <v>-4.4021643148098626</v>
      </c>
      <c r="Y462" s="26">
        <f ca="1">IF(Y$4=OFFSET(Choices!$B$10,0,$C$1),AVERAGE(V$462/V$223,W$462/W$223,X$462/X$223),X$462/X$223)*(Y$223)</f>
        <v>-4.3291218925033466</v>
      </c>
      <c r="Z462" s="26">
        <f ca="1">IF(Z$4=OFFSET(Choices!$B$10,0,$C$1),AVERAGE(W$462/W$223,X$462/X$223,Y$462/Y$223),Y$462/Y$223)*(Z$223)</f>
        <v>-4.1734775866996356</v>
      </c>
      <c r="AA462" s="26">
        <f ca="1">IF(AA$4=OFFSET(Choices!$B$10,0,$C$1),AVERAGE(X$462/X$223,Y$462/Y$223,Z$462/Z$223),Z$462/Z$223)*(AA$223)</f>
        <v>-3.8155827406864806</v>
      </c>
      <c r="AB462" s="26">
        <f ca="1">IF(AB$4=OFFSET(Choices!$B$10,0,$C$1),AVERAGE(Y$462/Y$223,Z$462/Z$223,AA$462/AA$223),AA$462/AA$223)*(AB$223)</f>
        <v>-3.3638158797101592</v>
      </c>
      <c r="AC462" s="26">
        <f ca="1">IF(AC$4=OFFSET(Choices!$B$10,0,$C$1),AVERAGE(Z$462/Z$223,AA$462/AA$223,AB$462/AB$223),AB$462/AB$223)*(AC$223)</f>
        <v>-2.8136009749349649</v>
      </c>
      <c r="AD462" s="26"/>
      <c r="AE462" s="26"/>
    </row>
    <row r="463" spans="1:31" x14ac:dyDescent="0.2">
      <c r="A463" s="31" t="s">
        <v>725</v>
      </c>
      <c r="F463" s="56">
        <f t="shared" ref="F463:AC463" si="248">SUM(F$456:F$462)-SUM(F$241,F$243)</f>
        <v>8.5860000000000003</v>
      </c>
      <c r="G463" s="56">
        <f t="shared" si="248"/>
        <v>7.2920000000000007</v>
      </c>
      <c r="H463" s="56">
        <f t="shared" si="248"/>
        <v>-1.9670000000000032</v>
      </c>
      <c r="I463" s="56">
        <f t="shared" si="248"/>
        <v>-4.9909999999999908</v>
      </c>
      <c r="J463" s="56">
        <f t="shared" si="248"/>
        <v>-9.2849999999999966</v>
      </c>
      <c r="K463" s="56">
        <f t="shared" si="248"/>
        <v>-7.2100000000000009</v>
      </c>
      <c r="L463" s="56">
        <f t="shared" si="248"/>
        <v>-4.5240000000000018</v>
      </c>
      <c r="M463" s="56">
        <f t="shared" si="248"/>
        <v>-2.9860000000000011</v>
      </c>
      <c r="N463" s="56">
        <f t="shared" si="248"/>
        <v>1.5950000000000029</v>
      </c>
      <c r="O463" s="57">
        <f t="shared" si="248"/>
        <v>0.11499999999999033</v>
      </c>
      <c r="P463" s="57">
        <f t="shared" si="248"/>
        <v>1.3679999999999972</v>
      </c>
      <c r="Q463" s="57">
        <f t="shared" si="248"/>
        <v>1.8190000000000057</v>
      </c>
      <c r="R463" s="57">
        <f t="shared" si="248"/>
        <v>4.8459999999999885</v>
      </c>
      <c r="S463" s="57">
        <f t="shared" si="248"/>
        <v>6.2420000000000062</v>
      </c>
      <c r="T463" s="58">
        <f t="shared" ca="1" si="248"/>
        <v>8.3277179572114672</v>
      </c>
      <c r="U463" s="58">
        <f t="shared" ca="1" si="248"/>
        <v>9.6239537087361171</v>
      </c>
      <c r="V463" s="58">
        <f t="shared" ca="1" si="248"/>
        <v>10.906119286087765</v>
      </c>
      <c r="W463" s="58">
        <f t="shared" ca="1" si="248"/>
        <v>12.132896796512604</v>
      </c>
      <c r="X463" s="58">
        <f t="shared" ca="1" si="248"/>
        <v>13.300458407477969</v>
      </c>
      <c r="Y463" s="58">
        <f t="shared" ca="1" si="248"/>
        <v>14.578031477934083</v>
      </c>
      <c r="Z463" s="58">
        <f t="shared" ca="1" si="248"/>
        <v>15.97406331604186</v>
      </c>
      <c r="AA463" s="58">
        <f t="shared" ca="1" si="248"/>
        <v>17.612414382309641</v>
      </c>
      <c r="AB463" s="58">
        <f t="shared" ca="1" si="248"/>
        <v>19.381359139486605</v>
      </c>
      <c r="AC463" s="58">
        <f t="shared" ca="1" si="248"/>
        <v>21.351612162749372</v>
      </c>
      <c r="AD463" s="26"/>
      <c r="AE463" s="26"/>
    </row>
    <row r="464" spans="1:31" x14ac:dyDescent="0.2">
      <c r="A464" s="3" t="s">
        <v>778</v>
      </c>
      <c r="B464" s="4" t="str">
        <f>$B$46</f>
        <v>From Fiscal Forecasts</v>
      </c>
      <c r="F464" s="21">
        <f>'Fiscal Forecasts'!F$429</f>
        <v>-1.7549999999999999</v>
      </c>
      <c r="G464" s="21">
        <f>'Fiscal Forecasts'!G$429</f>
        <v>-1.4330000000000001</v>
      </c>
      <c r="H464" s="21">
        <f>'Fiscal Forecasts'!H$429</f>
        <v>-1.625</v>
      </c>
      <c r="I464" s="21">
        <f>'Fiscal Forecasts'!I$429</f>
        <v>-1.778</v>
      </c>
      <c r="J464" s="21">
        <f>'Fiscal Forecasts'!J$429</f>
        <v>-1.524</v>
      </c>
      <c r="K464" s="21">
        <f>'Fiscal Forecasts'!K$429</f>
        <v>-1.262</v>
      </c>
      <c r="L464" s="21">
        <f>'Fiscal Forecasts'!L$429</f>
        <v>-1.2310000000000001</v>
      </c>
      <c r="M464" s="21">
        <f>'Fiscal Forecasts'!M$429</f>
        <v>-1.867</v>
      </c>
      <c r="N464" s="21">
        <f>'Fiscal Forecasts'!N$429</f>
        <v>-1.9550000000000001</v>
      </c>
      <c r="O464" s="24">
        <f>'Fiscal Forecasts'!O$429</f>
        <v>-3.0339999999999998</v>
      </c>
      <c r="P464" s="24">
        <f>'Fiscal Forecasts'!P$429</f>
        <v>-2.7570000000000001</v>
      </c>
      <c r="Q464" s="24">
        <f>'Fiscal Forecasts'!Q$429</f>
        <v>-1.85</v>
      </c>
      <c r="R464" s="24">
        <f>'Fiscal Forecasts'!R$429</f>
        <v>-1.7430000000000001</v>
      </c>
      <c r="S464" s="24">
        <f>'Fiscal Forecasts'!S$429</f>
        <v>-1.766</v>
      </c>
      <c r="T464" s="26">
        <f t="shared" ref="T464:AC464" ca="1" si="249">-(SUM(T$404-S$404-(T$372-S$372),T$410)+SUM(T$419-S$419,T$209-T$410))</f>
        <v>-1.8753309622035101</v>
      </c>
      <c r="U464" s="26">
        <f t="shared" ca="1" si="249"/>
        <v>-1.9235895469678086</v>
      </c>
      <c r="V464" s="26">
        <f t="shared" ca="1" si="249"/>
        <v>-1.9723488657663859</v>
      </c>
      <c r="W464" s="26">
        <f t="shared" ca="1" si="249"/>
        <v>-2.023457746143114</v>
      </c>
      <c r="X464" s="26">
        <f t="shared" ca="1" si="249"/>
        <v>-2.0738180965649398</v>
      </c>
      <c r="Y464" s="26">
        <f t="shared" ca="1" si="249"/>
        <v>-2.1238782262636233</v>
      </c>
      <c r="Z464" s="26">
        <f t="shared" ca="1" si="249"/>
        <v>-2.1805844143590889</v>
      </c>
      <c r="AA464" s="26">
        <f t="shared" ca="1" si="249"/>
        <v>-2.2383225304495826</v>
      </c>
      <c r="AB464" s="26">
        <f t="shared" ca="1" si="249"/>
        <v>-2.2966730909974533</v>
      </c>
      <c r="AC464" s="26">
        <f t="shared" ca="1" si="249"/>
        <v>-2.3565143278771381</v>
      </c>
      <c r="AD464" s="26"/>
      <c r="AE464" s="26"/>
    </row>
    <row r="465" spans="1:31" x14ac:dyDescent="0.2">
      <c r="A465" s="3" t="s">
        <v>711</v>
      </c>
      <c r="B465" s="4" t="str">
        <f>$B$46</f>
        <v>From Fiscal Forecasts</v>
      </c>
      <c r="F465" s="21">
        <f>'Fiscal Forecasts'!F$430</f>
        <v>-1.125</v>
      </c>
      <c r="G465" s="21">
        <f>'Fiscal Forecasts'!G$430</f>
        <v>-1.254</v>
      </c>
      <c r="H465" s="21">
        <f>'Fiscal Forecasts'!H$430</f>
        <v>-0.86</v>
      </c>
      <c r="I465" s="21">
        <f>'Fiscal Forecasts'!I$430</f>
        <v>-0.92600000000000005</v>
      </c>
      <c r="J465" s="21">
        <f>'Fiscal Forecasts'!J$430</f>
        <v>-1.242</v>
      </c>
      <c r="K465" s="21">
        <f>'Fiscal Forecasts'!K$430</f>
        <v>-1.022</v>
      </c>
      <c r="L465" s="21">
        <f>'Fiscal Forecasts'!L$430</f>
        <v>-0.34200000000000003</v>
      </c>
      <c r="M465" s="21">
        <f>'Fiscal Forecasts'!M$430</f>
        <v>-0.71599999999999997</v>
      </c>
      <c r="N465" s="21">
        <f>'Fiscal Forecasts'!N$430</f>
        <v>-0.56999999999999995</v>
      </c>
      <c r="O465" s="24">
        <f>'Fiscal Forecasts'!O$430</f>
        <v>-0.60899999999999999</v>
      </c>
      <c r="P465" s="24">
        <f>'Fiscal Forecasts'!P$430</f>
        <v>-0.56899999999999995</v>
      </c>
      <c r="Q465" s="24">
        <f>'Fiscal Forecasts'!Q$430</f>
        <v>-0.46100000000000002</v>
      </c>
      <c r="R465" s="24">
        <f>'Fiscal Forecasts'!R$430</f>
        <v>-0.38600000000000001</v>
      </c>
      <c r="S465" s="24">
        <f>'Fiscal Forecasts'!S$430</f>
        <v>-0.217</v>
      </c>
      <c r="T465" s="26">
        <f t="shared" ref="T465:AC465" ca="1" si="250">-(T$383-S$383-(T$380-S$380)-SUM(T$390,T$392,T$393))</f>
        <v>-0.59099050061495706</v>
      </c>
      <c r="U465" s="26">
        <f t="shared" ca="1" si="250"/>
        <v>-0.58118166078366484</v>
      </c>
      <c r="V465" s="26">
        <f t="shared" ca="1" si="250"/>
        <v>-0.58424630704618064</v>
      </c>
      <c r="W465" s="26">
        <f t="shared" ca="1" si="250"/>
        <v>-0.58823970854317753</v>
      </c>
      <c r="X465" s="26">
        <f t="shared" ca="1" si="250"/>
        <v>-0.59368106597110393</v>
      </c>
      <c r="Y465" s="26">
        <f t="shared" ca="1" si="250"/>
        <v>-0.59837307877155888</v>
      </c>
      <c r="Z465" s="26">
        <f t="shared" ca="1" si="250"/>
        <v>-0.62913507782131972</v>
      </c>
      <c r="AA465" s="26">
        <f t="shared" ca="1" si="250"/>
        <v>-0.65413849103202437</v>
      </c>
      <c r="AB465" s="26">
        <f t="shared" ca="1" si="250"/>
        <v>-0.67477825018433824</v>
      </c>
      <c r="AC465" s="26">
        <f t="shared" ca="1" si="250"/>
        <v>-0.69430349365589794</v>
      </c>
      <c r="AD465" s="26"/>
      <c r="AE465" s="26"/>
    </row>
    <row r="466" spans="1:31" x14ac:dyDescent="0.2">
      <c r="A466" s="3" t="s">
        <v>726</v>
      </c>
      <c r="B466" s="4" t="str">
        <f>$B$46</f>
        <v>From Fiscal Forecasts</v>
      </c>
      <c r="F466" s="21">
        <f>'Fiscal Forecasts'!F$431</f>
        <v>-0.86499999999999999</v>
      </c>
      <c r="G466" s="21">
        <f>'Fiscal Forecasts'!G$431</f>
        <v>-0.44400000000000001</v>
      </c>
      <c r="H466" s="21">
        <f>'Fiscal Forecasts'!H$431</f>
        <v>-1.944</v>
      </c>
      <c r="I466" s="21">
        <f>'Fiscal Forecasts'!I$431</f>
        <v>-1.0549999999999999</v>
      </c>
      <c r="J466" s="21">
        <f>'Fiscal Forecasts'!J$431</f>
        <v>-1.292</v>
      </c>
      <c r="K466" s="21">
        <f>'Fiscal Forecasts'!K$431</f>
        <v>-1.1499999999999999</v>
      </c>
      <c r="L466" s="21">
        <f>'Fiscal Forecasts'!L$431</f>
        <v>0.35499999999999998</v>
      </c>
      <c r="M466" s="21">
        <f>'Fiscal Forecasts'!M$431</f>
        <v>1.4600000000000002</v>
      </c>
      <c r="N466" s="21">
        <f>'Fiscal Forecasts'!N$431</f>
        <v>-0.89699999999999991</v>
      </c>
      <c r="O466" s="24">
        <f>'Fiscal Forecasts'!O$431</f>
        <v>-1.974</v>
      </c>
      <c r="P466" s="24">
        <f>'Fiscal Forecasts'!P$431</f>
        <v>-1.9830000000000001</v>
      </c>
      <c r="Q466" s="24">
        <f>'Fiscal Forecasts'!Q$431</f>
        <v>-1.546</v>
      </c>
      <c r="R466" s="24">
        <f>'Fiscal Forecasts'!R$431</f>
        <v>-1.5089999999999999</v>
      </c>
      <c r="S466" s="24">
        <f>'Fiscal Forecasts'!S$431</f>
        <v>-1.466</v>
      </c>
      <c r="T466" s="26">
        <f t="shared" ref="T466:AC466" ca="1" si="251">-(T$415-S$415-T$340)</f>
        <v>-1.3570841724406122</v>
      </c>
      <c r="U466" s="26">
        <f t="shared" ca="1" si="251"/>
        <v>-1.4172445160550213</v>
      </c>
      <c r="V466" s="26">
        <f t="shared" ca="1" si="251"/>
        <v>-1.4808652148729586</v>
      </c>
      <c r="W466" s="26">
        <f t="shared" ca="1" si="251"/>
        <v>-1.5468508486277179</v>
      </c>
      <c r="X466" s="26">
        <f t="shared" ca="1" si="251"/>
        <v>-1.6155578619816731</v>
      </c>
      <c r="Y466" s="26">
        <f t="shared" ca="1" si="251"/>
        <v>-1.6864862745218969</v>
      </c>
      <c r="Z466" s="26">
        <f t="shared" ca="1" si="251"/>
        <v>-1.7594916487003189</v>
      </c>
      <c r="AA466" s="26">
        <f t="shared" ca="1" si="251"/>
        <v>-1.8346253477621766</v>
      </c>
      <c r="AB466" s="26">
        <f t="shared" ca="1" si="251"/>
        <v>-1.9115972408487723</v>
      </c>
      <c r="AC466" s="26">
        <f t="shared" ca="1" si="251"/>
        <v>-1.9908084833567083</v>
      </c>
      <c r="AD466" s="26"/>
      <c r="AE466" s="26"/>
    </row>
    <row r="467" spans="1:31" x14ac:dyDescent="0.2">
      <c r="A467" s="3" t="s">
        <v>825</v>
      </c>
      <c r="F467" s="21">
        <f>-F$366</f>
        <v>-2.0490000000000004</v>
      </c>
      <c r="G467" s="21">
        <f t="shared" ref="G467:AC467" si="252">-G$366</f>
        <v>-2.1040000000000001</v>
      </c>
      <c r="H467" s="21">
        <f t="shared" si="252"/>
        <v>-2.2429999999999999</v>
      </c>
      <c r="I467" s="21">
        <f t="shared" si="252"/>
        <v>-0.25</v>
      </c>
      <c r="J467" s="21">
        <f t="shared" si="252"/>
        <v>0</v>
      </c>
      <c r="K467" s="21">
        <f t="shared" si="252"/>
        <v>0</v>
      </c>
      <c r="L467" s="21">
        <f t="shared" si="252"/>
        <v>0</v>
      </c>
      <c r="M467" s="21">
        <f t="shared" si="252"/>
        <v>0</v>
      </c>
      <c r="N467" s="21">
        <f t="shared" si="252"/>
        <v>0</v>
      </c>
      <c r="O467" s="24">
        <f t="shared" si="252"/>
        <v>0</v>
      </c>
      <c r="P467" s="24">
        <f t="shared" si="252"/>
        <v>0</v>
      </c>
      <c r="Q467" s="24">
        <f t="shared" si="252"/>
        <v>0</v>
      </c>
      <c r="R467" s="24">
        <f t="shared" si="252"/>
        <v>0</v>
      </c>
      <c r="S467" s="24">
        <f t="shared" si="252"/>
        <v>0</v>
      </c>
      <c r="T467" s="26">
        <f t="shared" si="252"/>
        <v>0</v>
      </c>
      <c r="U467" s="26">
        <f t="shared" si="252"/>
        <v>0</v>
      </c>
      <c r="V467" s="26">
        <f t="shared" si="252"/>
        <v>-2.7480000000000002</v>
      </c>
      <c r="W467" s="26">
        <f t="shared" si="252"/>
        <v>-2.5680000000000001</v>
      </c>
      <c r="X467" s="26">
        <f t="shared" si="252"/>
        <v>-2.37</v>
      </c>
      <c r="Y467" s="26">
        <f t="shared" si="252"/>
        <v>-2.12</v>
      </c>
      <c r="Z467" s="26">
        <f t="shared" si="252"/>
        <v>-1.825</v>
      </c>
      <c r="AA467" s="26">
        <f t="shared" si="252"/>
        <v>-1.52</v>
      </c>
      <c r="AB467" s="26">
        <f t="shared" si="252"/>
        <v>-1.212</v>
      </c>
      <c r="AC467" s="26">
        <f t="shared" si="252"/>
        <v>-0.94099999999999995</v>
      </c>
      <c r="AD467" s="26"/>
      <c r="AE467" s="26"/>
    </row>
    <row r="468" spans="1:31" x14ac:dyDescent="0.2">
      <c r="A468" s="31" t="s">
        <v>728</v>
      </c>
      <c r="F468" s="56">
        <f t="shared" ref="F468:S468" si="253">SUM(F$464:F$467)-SUM(F$323-E$323,F$324-E$324)</f>
        <v>-5.7940000000000005</v>
      </c>
      <c r="G468" s="56">
        <f t="shared" si="253"/>
        <v>-5.2350000000000003</v>
      </c>
      <c r="H468" s="56">
        <f t="shared" si="253"/>
        <v>-6.6720000000000006</v>
      </c>
      <c r="I468" s="56">
        <f t="shared" si="253"/>
        <v>-4.0090000000000003</v>
      </c>
      <c r="J468" s="56">
        <f t="shared" si="253"/>
        <v>-4.0579999999999998</v>
      </c>
      <c r="K468" s="56">
        <f t="shared" si="253"/>
        <v>-3.4339999999999997</v>
      </c>
      <c r="L468" s="56">
        <f t="shared" si="253"/>
        <v>-1.2180000000000002</v>
      </c>
      <c r="M468" s="56">
        <f t="shared" si="253"/>
        <v>-1.123</v>
      </c>
      <c r="N468" s="56">
        <f t="shared" si="253"/>
        <v>-3.4219999999999997</v>
      </c>
      <c r="O468" s="57">
        <f t="shared" si="253"/>
        <v>-5.5129999999999999</v>
      </c>
      <c r="P468" s="57">
        <f t="shared" si="253"/>
        <v>-6.03</v>
      </c>
      <c r="Q468" s="57">
        <f t="shared" si="253"/>
        <v>-4.5979999999999999</v>
      </c>
      <c r="R468" s="57">
        <f t="shared" si="253"/>
        <v>-4.3230000000000004</v>
      </c>
      <c r="S468" s="57">
        <f t="shared" si="253"/>
        <v>-4.3119999999999994</v>
      </c>
      <c r="T468" s="58">
        <f t="shared" ref="T468:AC468" ca="1" si="254">SUM(T$464:T$467)-SUM(T$323-S$323,T$324-S$324)</f>
        <v>-4.8748056352590794</v>
      </c>
      <c r="U468" s="58">
        <f t="shared" ca="1" si="254"/>
        <v>-4.9535237238064953</v>
      </c>
      <c r="V468" s="58">
        <f t="shared" ca="1" si="254"/>
        <v>-7.8020385476855258</v>
      </c>
      <c r="W468" s="58">
        <f t="shared" ca="1" si="254"/>
        <v>-7.7162580265140104</v>
      </c>
      <c r="X468" s="58">
        <f t="shared" ca="1" si="254"/>
        <v>-7.6625609421817176</v>
      </c>
      <c r="Y468" s="58">
        <f t="shared" ca="1" si="254"/>
        <v>-7.5584315755743585</v>
      </c>
      <c r="Z468" s="58">
        <f t="shared" ca="1" si="254"/>
        <v>-7.4444990168183542</v>
      </c>
      <c r="AA468" s="58">
        <f t="shared" ca="1" si="254"/>
        <v>-7.3183800027001622</v>
      </c>
      <c r="AB468" s="58">
        <f t="shared" ca="1" si="254"/>
        <v>-7.1877680881560693</v>
      </c>
      <c r="AC468" s="58">
        <f t="shared" ca="1" si="254"/>
        <v>-7.0972002011377606</v>
      </c>
      <c r="AD468" s="26"/>
      <c r="AE468" s="26"/>
    </row>
    <row r="469" spans="1:31" x14ac:dyDescent="0.2">
      <c r="A469" s="31" t="s">
        <v>729</v>
      </c>
      <c r="F469" s="74">
        <f>SUM(F$463,F$468)</f>
        <v>2.7919999999999998</v>
      </c>
      <c r="G469" s="74">
        <f t="shared" ref="G469:AC469" si="255">SUM(G$463,G$468)</f>
        <v>2.0570000000000004</v>
      </c>
      <c r="H469" s="74">
        <f t="shared" si="255"/>
        <v>-8.6390000000000029</v>
      </c>
      <c r="I469" s="74">
        <f t="shared" si="255"/>
        <v>-8.9999999999999911</v>
      </c>
      <c r="J469" s="74">
        <f t="shared" si="255"/>
        <v>-13.342999999999996</v>
      </c>
      <c r="K469" s="74">
        <f t="shared" si="255"/>
        <v>-10.644</v>
      </c>
      <c r="L469" s="74">
        <f t="shared" si="255"/>
        <v>-5.7420000000000018</v>
      </c>
      <c r="M469" s="74">
        <f t="shared" si="255"/>
        <v>-4.1090000000000009</v>
      </c>
      <c r="N469" s="74">
        <f t="shared" si="255"/>
        <v>-1.8269999999999968</v>
      </c>
      <c r="O469" s="76">
        <f t="shared" si="255"/>
        <v>-5.3980000000000095</v>
      </c>
      <c r="P469" s="76">
        <f t="shared" si="255"/>
        <v>-4.6620000000000026</v>
      </c>
      <c r="Q469" s="76">
        <f t="shared" si="255"/>
        <v>-2.7789999999999941</v>
      </c>
      <c r="R469" s="76">
        <f t="shared" si="255"/>
        <v>0.52299999999998814</v>
      </c>
      <c r="S469" s="76">
        <f t="shared" si="255"/>
        <v>1.9300000000000068</v>
      </c>
      <c r="T469" s="75">
        <f t="shared" ca="1" si="255"/>
        <v>3.4529123219523878</v>
      </c>
      <c r="U469" s="75">
        <f t="shared" ca="1" si="255"/>
        <v>4.6704299849296218</v>
      </c>
      <c r="V469" s="75">
        <f t="shared" ca="1" si="255"/>
        <v>3.1040807384022395</v>
      </c>
      <c r="W469" s="75">
        <f t="shared" ca="1" si="255"/>
        <v>4.4166387699985936</v>
      </c>
      <c r="X469" s="75">
        <f t="shared" ca="1" si="255"/>
        <v>5.637897465296251</v>
      </c>
      <c r="Y469" s="75">
        <f t="shared" ca="1" si="255"/>
        <v>7.0195999023597242</v>
      </c>
      <c r="Z469" s="75">
        <f t="shared" ca="1" si="255"/>
        <v>8.5295642992235052</v>
      </c>
      <c r="AA469" s="75">
        <f t="shared" ca="1" si="255"/>
        <v>10.294034379609478</v>
      </c>
      <c r="AB469" s="75">
        <f t="shared" ca="1" si="255"/>
        <v>12.193591051330536</v>
      </c>
      <c r="AC469" s="75">
        <f t="shared" ca="1" si="255"/>
        <v>14.254411961611613</v>
      </c>
      <c r="AD469" s="26"/>
      <c r="AE469" s="26"/>
    </row>
    <row r="470" spans="1:31" x14ac:dyDescent="0.2">
      <c r="A470" s="81"/>
      <c r="F470" s="62"/>
      <c r="G470" s="62"/>
      <c r="H470" s="62"/>
      <c r="I470" s="62"/>
      <c r="J470" s="62"/>
      <c r="K470" s="62"/>
      <c r="L470" s="62"/>
      <c r="M470" s="62"/>
      <c r="N470" s="62"/>
      <c r="O470" s="70"/>
      <c r="P470" s="70"/>
      <c r="Q470" s="70"/>
      <c r="R470" s="70"/>
      <c r="S470" s="70"/>
      <c r="T470" s="70"/>
      <c r="U470" s="70"/>
      <c r="V470" s="70"/>
      <c r="W470" s="70"/>
      <c r="X470" s="70"/>
      <c r="Y470" s="70"/>
      <c r="Z470" s="70"/>
      <c r="AA470" s="70"/>
      <c r="AB470" s="70"/>
      <c r="AC470" s="70"/>
      <c r="AD470" s="26"/>
      <c r="AE470" s="26"/>
    </row>
    <row r="471" spans="1:31" x14ac:dyDescent="0.2">
      <c r="A471" s="3" t="s">
        <v>777</v>
      </c>
      <c r="B471" s="4" t="str">
        <f>$B$46</f>
        <v>From Fiscal Forecasts</v>
      </c>
      <c r="F471" s="21">
        <f>'Fiscal Forecasts'!F$436</f>
        <v>-4.9560000000000004</v>
      </c>
      <c r="G471" s="21">
        <f>'Fiscal Forecasts'!G$436</f>
        <v>-3.5950000000000002</v>
      </c>
      <c r="H471" s="21">
        <f>'Fiscal Forecasts'!H$436</f>
        <v>-0.51200000000000001</v>
      </c>
      <c r="I471" s="21">
        <f>'Fiscal Forecasts'!I$436</f>
        <v>2.0019999999999998</v>
      </c>
      <c r="J471" s="21">
        <f>'Fiscal Forecasts'!J$436</f>
        <v>-4.7910000000000004</v>
      </c>
      <c r="K471" s="21">
        <f>'Fiscal Forecasts'!K$436</f>
        <v>2.27</v>
      </c>
      <c r="L471" s="21">
        <f>'Fiscal Forecasts'!L$436</f>
        <v>5.6989999999999998</v>
      </c>
      <c r="M471" s="21">
        <f>'Fiscal Forecasts'!M$436</f>
        <v>-1.51</v>
      </c>
      <c r="N471" s="21">
        <f>'Fiscal Forecasts'!N$436</f>
        <v>0.79500000000000004</v>
      </c>
      <c r="O471" s="24">
        <f>'Fiscal Forecasts'!O$436</f>
        <v>3.008</v>
      </c>
      <c r="P471" s="24">
        <f>'Fiscal Forecasts'!P$436</f>
        <v>-4.359</v>
      </c>
      <c r="Q471" s="24">
        <f>'Fiscal Forecasts'!Q$436</f>
        <v>5.2480000000000002</v>
      </c>
      <c r="R471" s="24">
        <f>'Fiscal Forecasts'!R$436</f>
        <v>2.1880000000000002</v>
      </c>
      <c r="S471" s="24">
        <f>'Fiscal Forecasts'!S$436</f>
        <v>-3.222</v>
      </c>
      <c r="T471" s="26">
        <f t="shared" ref="T471:AC471" ca="1" si="256">-(T$355-S$355-(T$370-SUM(T$343,T$348,T$380)-(S$370-SUM(S$343,S$348,S$380)))-(T$327-T$365)-(T$162-T$392-T$362-T$458))</f>
        <v>-1.0448292121664204</v>
      </c>
      <c r="U471" s="26">
        <f t="shared" ca="1" si="256"/>
        <v>-1.1009665853383501</v>
      </c>
      <c r="V471" s="26">
        <f t="shared" ca="1" si="256"/>
        <v>-1.1702674644280155</v>
      </c>
      <c r="W471" s="26">
        <f t="shared" ca="1" si="256"/>
        <v>-1.215903174212607</v>
      </c>
      <c r="X471" s="26">
        <f t="shared" ca="1" si="256"/>
        <v>-1.2671537913985942</v>
      </c>
      <c r="Y471" s="26">
        <f t="shared" ca="1" si="256"/>
        <v>-1.3105672623627593</v>
      </c>
      <c r="Z471" s="26">
        <f t="shared" ca="1" si="256"/>
        <v>-1.3518142232805781</v>
      </c>
      <c r="AA471" s="26">
        <f t="shared" ca="1" si="256"/>
        <v>-1.3941204584861402</v>
      </c>
      <c r="AB471" s="26">
        <f t="shared" ca="1" si="256"/>
        <v>-1.4321274882262971</v>
      </c>
      <c r="AC471" s="26">
        <f t="shared" ca="1" si="256"/>
        <v>-1.4766598583541732</v>
      </c>
      <c r="AD471" s="26"/>
      <c r="AE471" s="26"/>
    </row>
    <row r="472" spans="1:31" x14ac:dyDescent="0.2">
      <c r="A472" s="3" t="s">
        <v>277</v>
      </c>
      <c r="F472" s="21">
        <f>F$112</f>
        <v>8.1000000000000003E-2</v>
      </c>
      <c r="G472" s="21">
        <f t="shared" ref="G472:AC472" si="257">G$112</f>
        <v>8.5999999999999993E-2</v>
      </c>
      <c r="H472" s="21">
        <f t="shared" si="257"/>
        <v>0.47499999999999998</v>
      </c>
      <c r="I472" s="21">
        <f t="shared" si="257"/>
        <v>1.4999999999999999E-2</v>
      </c>
      <c r="J472" s="21">
        <f t="shared" si="257"/>
        <v>0.23400000000000001</v>
      </c>
      <c r="K472" s="21">
        <f t="shared" si="257"/>
        <v>0.20300000000000029</v>
      </c>
      <c r="L472" s="21">
        <f t="shared" si="257"/>
        <v>0.23400000000000001</v>
      </c>
      <c r="M472" s="21">
        <f t="shared" si="257"/>
        <v>0.27400000000000002</v>
      </c>
      <c r="N472" s="21">
        <f t="shared" si="257"/>
        <v>0.372</v>
      </c>
      <c r="O472" s="24">
        <f t="shared" si="257"/>
        <v>0.214</v>
      </c>
      <c r="P472" s="24">
        <f t="shared" si="257"/>
        <v>0.16300000000000001</v>
      </c>
      <c r="Q472" s="24">
        <f t="shared" si="257"/>
        <v>0.17</v>
      </c>
      <c r="R472" s="24">
        <f t="shared" si="257"/>
        <v>0.17399999999999999</v>
      </c>
      <c r="S472" s="24">
        <f t="shared" si="257"/>
        <v>0.18</v>
      </c>
      <c r="T472" s="26">
        <f t="shared" ca="1" si="257"/>
        <v>0.27744583944558165</v>
      </c>
      <c r="U472" s="26">
        <f t="shared" ca="1" si="257"/>
        <v>0.28923254103590601</v>
      </c>
      <c r="V472" s="26">
        <f t="shared" ca="1" si="257"/>
        <v>0.3058688710213211</v>
      </c>
      <c r="W472" s="26">
        <f t="shared" ca="1" si="257"/>
        <v>0.31723875523519585</v>
      </c>
      <c r="X472" s="26">
        <f t="shared" ca="1" si="257"/>
        <v>0.33032231642033061</v>
      </c>
      <c r="Y472" s="26">
        <f t="shared" ca="1" si="257"/>
        <v>0.34100212462447832</v>
      </c>
      <c r="Z472" s="26">
        <f t="shared" ca="1" si="257"/>
        <v>0.35098752125224131</v>
      </c>
      <c r="AA472" s="26">
        <f t="shared" ca="1" si="257"/>
        <v>0.36121985666131273</v>
      </c>
      <c r="AB472" s="26">
        <f t="shared" ca="1" si="257"/>
        <v>0.37005733159491605</v>
      </c>
      <c r="AC472" s="26">
        <f t="shared" ca="1" si="257"/>
        <v>0.38082343904192051</v>
      </c>
      <c r="AD472" s="26"/>
      <c r="AE472" s="26"/>
    </row>
    <row r="473" spans="1:31" x14ac:dyDescent="0.2">
      <c r="A473" s="3" t="s">
        <v>692</v>
      </c>
      <c r="B473" s="4" t="str">
        <f>$B$46</f>
        <v>From Fiscal Forecasts</v>
      </c>
      <c r="F473" s="21">
        <f>'Fiscal Forecasts'!F$437</f>
        <v>-0.47799999999999998</v>
      </c>
      <c r="G473" s="21">
        <f>'Fiscal Forecasts'!G$437</f>
        <v>0.249</v>
      </c>
      <c r="H473" s="21">
        <f>'Fiscal Forecasts'!H$437</f>
        <v>-1.7609999999999999</v>
      </c>
      <c r="I473" s="21">
        <f>'Fiscal Forecasts'!I$437</f>
        <v>-0.81699999999999995</v>
      </c>
      <c r="J473" s="21">
        <f>'Fiscal Forecasts'!J$437</f>
        <v>-0.86099999999999999</v>
      </c>
      <c r="K473" s="21">
        <f>'Fiscal Forecasts'!K$437</f>
        <v>-0.29099999999999998</v>
      </c>
      <c r="L473" s="21">
        <f>'Fiscal Forecasts'!L$437</f>
        <v>-1.3109999999999999</v>
      </c>
      <c r="M473" s="21">
        <f>'Fiscal Forecasts'!M$437</f>
        <v>0.35099999999999998</v>
      </c>
      <c r="N473" s="21">
        <f>'Fiscal Forecasts'!N$437</f>
        <v>-2.3809999999999998</v>
      </c>
      <c r="O473" s="24">
        <f>'Fiscal Forecasts'!O$437</f>
        <v>-5.7000000000000002E-2</v>
      </c>
      <c r="P473" s="24">
        <f>'Fiscal Forecasts'!P$437</f>
        <v>-4.0000000000000001E-3</v>
      </c>
      <c r="Q473" s="24">
        <f>'Fiscal Forecasts'!Q$437</f>
        <v>-4.0000000000000001E-3</v>
      </c>
      <c r="R473" s="24">
        <f>'Fiscal Forecasts'!R$437</f>
        <v>-6.0000000000000001E-3</v>
      </c>
      <c r="S473" s="24">
        <f>'Fiscal Forecasts'!S$437</f>
        <v>-5.0000000000000001E-3</v>
      </c>
      <c r="T473" s="26">
        <f t="shared" ref="T473:AC473" ca="1" si="258">-(T$345-S$345-(T$343-S$343))</f>
        <v>-0.45501172541313917</v>
      </c>
      <c r="U473" s="26">
        <f t="shared" ca="1" si="258"/>
        <v>-0.45554319505217666</v>
      </c>
      <c r="V473" s="26">
        <f t="shared" ca="1" si="258"/>
        <v>-0.45964194749616549</v>
      </c>
      <c r="W473" s="26">
        <f t="shared" ca="1" si="258"/>
        <v>-0.45431603317586422</v>
      </c>
      <c r="X473" s="26">
        <f t="shared" ca="1" si="258"/>
        <v>-0.44804845832317142</v>
      </c>
      <c r="Y473" s="26">
        <f t="shared" ca="1" si="258"/>
        <v>-0.43534105835932468</v>
      </c>
      <c r="Z473" s="26">
        <f t="shared" ca="1" si="258"/>
        <v>-0.44808893534354244</v>
      </c>
      <c r="AA473" s="26">
        <f t="shared" ca="1" si="258"/>
        <v>-0.46115206722688917</v>
      </c>
      <c r="AB473" s="26">
        <f t="shared" ca="1" si="258"/>
        <v>-0.4724344476374398</v>
      </c>
      <c r="AC473" s="26">
        <f t="shared" ca="1" si="258"/>
        <v>-0.48617902068240859</v>
      </c>
      <c r="AD473" s="26"/>
      <c r="AE473" s="26"/>
    </row>
    <row r="474" spans="1:31" x14ac:dyDescent="0.2">
      <c r="A474" s="31" t="s">
        <v>730</v>
      </c>
      <c r="F474" s="56">
        <f>SUM(F$471:F$473)</f>
        <v>-5.3529999999999998</v>
      </c>
      <c r="G474" s="56">
        <f t="shared" ref="G474:AC474" si="259">SUM(G$471:G$473)</f>
        <v>-3.2600000000000002</v>
      </c>
      <c r="H474" s="56">
        <f t="shared" si="259"/>
        <v>-1.798</v>
      </c>
      <c r="I474" s="56">
        <f t="shared" si="259"/>
        <v>1.2</v>
      </c>
      <c r="J474" s="56">
        <f t="shared" si="259"/>
        <v>-5.4180000000000001</v>
      </c>
      <c r="K474" s="56">
        <f t="shared" si="259"/>
        <v>2.1820000000000004</v>
      </c>
      <c r="L474" s="56">
        <f t="shared" si="259"/>
        <v>4.6219999999999999</v>
      </c>
      <c r="M474" s="56">
        <f t="shared" si="259"/>
        <v>-0.88500000000000001</v>
      </c>
      <c r="N474" s="56">
        <f t="shared" si="259"/>
        <v>-1.2139999999999997</v>
      </c>
      <c r="O474" s="57">
        <f t="shared" si="259"/>
        <v>3.165</v>
      </c>
      <c r="P474" s="57">
        <f t="shared" si="259"/>
        <v>-4.1999999999999993</v>
      </c>
      <c r="Q474" s="57">
        <f t="shared" si="259"/>
        <v>5.4140000000000006</v>
      </c>
      <c r="R474" s="57">
        <f t="shared" si="259"/>
        <v>2.3560000000000003</v>
      </c>
      <c r="S474" s="57">
        <f t="shared" si="259"/>
        <v>-3.0469999999999997</v>
      </c>
      <c r="T474" s="58">
        <f t="shared" ca="1" si="259"/>
        <v>-1.222395098133978</v>
      </c>
      <c r="U474" s="58">
        <f t="shared" ca="1" si="259"/>
        <v>-1.2672772393546208</v>
      </c>
      <c r="V474" s="58">
        <f t="shared" ca="1" si="259"/>
        <v>-1.3240405409028599</v>
      </c>
      <c r="W474" s="58">
        <f t="shared" ca="1" si="259"/>
        <v>-1.3529804521532753</v>
      </c>
      <c r="X474" s="58">
        <f t="shared" ca="1" si="259"/>
        <v>-1.384879933301435</v>
      </c>
      <c r="Y474" s="58">
        <f t="shared" ca="1" si="259"/>
        <v>-1.4049061960976057</v>
      </c>
      <c r="Z474" s="58">
        <f t="shared" ca="1" si="259"/>
        <v>-1.4489156373718792</v>
      </c>
      <c r="AA474" s="58">
        <f t="shared" ca="1" si="259"/>
        <v>-1.4940526690517166</v>
      </c>
      <c r="AB474" s="58">
        <f t="shared" ca="1" si="259"/>
        <v>-1.5345046042688208</v>
      </c>
      <c r="AC474" s="58">
        <f t="shared" ca="1" si="259"/>
        <v>-1.5820154399946613</v>
      </c>
      <c r="AD474" s="26"/>
      <c r="AE474" s="26"/>
    </row>
    <row r="475" spans="1:31" x14ac:dyDescent="0.2">
      <c r="A475" s="31" t="s">
        <v>690</v>
      </c>
      <c r="B475" s="4" t="str">
        <f>$B$46</f>
        <v>From Fiscal Forecasts</v>
      </c>
      <c r="F475" s="23">
        <f>'Fiscal Forecasts'!F$435</f>
        <v>2.5609999999999999</v>
      </c>
      <c r="G475" s="23">
        <f>'Fiscal Forecasts'!G$435</f>
        <v>1.2029999999999998</v>
      </c>
      <c r="H475" s="23">
        <f>'Fiscal Forecasts'!H$435</f>
        <v>10.437000000000001</v>
      </c>
      <c r="I475" s="23">
        <f>'Fiscal Forecasts'!I$435</f>
        <v>7.7999999999999989</v>
      </c>
      <c r="J475" s="23">
        <f>'Fiscal Forecasts'!J$435</f>
        <v>18.761000000000003</v>
      </c>
      <c r="K475" s="23">
        <f>'Fiscal Forecasts'!K$435</f>
        <v>8.4619999999999997</v>
      </c>
      <c r="L475" s="23">
        <f>'Fiscal Forecasts'!L$435</f>
        <v>1.1200000000000001</v>
      </c>
      <c r="M475" s="23">
        <f>'Fiscal Forecasts'!M$435</f>
        <v>4.9939999999999998</v>
      </c>
      <c r="N475" s="23">
        <f>'Fiscal Forecasts'!N$435 +IF($D$2="Yes",'Fiscal Forecast Adjuster'!E$37,0)/1000 +IF($D$3="Yes",'NZS Fund Adjuster'!N$11,0)</f>
        <v>3.0409999999999999</v>
      </c>
      <c r="O475" s="25">
        <f>'Fiscal Forecasts'!O$435 +IF($D$2="Yes",'Fiscal Forecast Adjuster'!F$37,0)/1000 +IF($D$3="Yes",'NZS Fund Adjuster'!O$11,0)</f>
        <v>2.2330000000000001</v>
      </c>
      <c r="P475" s="25">
        <f>'Fiscal Forecasts'!P$435 +IF($D$2="Yes",'Fiscal Forecast Adjuster'!G$37,0)/1000 +IF($D$3="Yes",'NZS Fund Adjuster'!P$11,0)</f>
        <v>8.8620000000000001</v>
      </c>
      <c r="Q475" s="25">
        <f>'Fiscal Forecasts'!Q$435 +IF($D$2="Yes",'Fiscal Forecast Adjuster'!H$37,0)/1000 +IF($D$3="Yes",'NZS Fund Adjuster'!Q$11,0)</f>
        <v>-2.6349999999999998</v>
      </c>
      <c r="R475" s="25">
        <f>'Fiscal Forecasts'!R$435 +IF($D$2="Yes",'Fiscal Forecast Adjuster'!I$37,0)/1000 +IF($D$3="Yes",'NZS Fund Adjuster'!R$11,0)</f>
        <v>-2.879</v>
      </c>
      <c r="S475" s="25">
        <f>'Fiscal Forecasts'!S$435 +IF($D$2="Yes",'Fiscal Forecast Adjuster'!J$37,0)/1000 +IF($D$3="Yes",'NZS Fund Adjuster'!S$11,0)</f>
        <v>1.117</v>
      </c>
      <c r="T475" s="11">
        <f t="shared" ref="T475:AC475" ca="1" si="260">-SUM(T$463,T$468,T$474)</f>
        <v>-2.2305172238184099</v>
      </c>
      <c r="U475" s="11">
        <f t="shared" ca="1" si="260"/>
        <v>-3.4031527455750012</v>
      </c>
      <c r="V475" s="11">
        <f t="shared" ca="1" si="260"/>
        <v>-1.7800401974993796</v>
      </c>
      <c r="W475" s="11">
        <f t="shared" ca="1" si="260"/>
        <v>-3.0636583178453183</v>
      </c>
      <c r="X475" s="11">
        <f t="shared" ca="1" si="260"/>
        <v>-4.253017531994816</v>
      </c>
      <c r="Y475" s="11">
        <f t="shared" ca="1" si="260"/>
        <v>-5.6146937062621181</v>
      </c>
      <c r="Z475" s="11">
        <f t="shared" ca="1" si="260"/>
        <v>-7.080648661851626</v>
      </c>
      <c r="AA475" s="11">
        <f t="shared" ca="1" si="260"/>
        <v>-8.7999817105577609</v>
      </c>
      <c r="AB475" s="11">
        <f t="shared" ca="1" si="260"/>
        <v>-10.659086447061714</v>
      </c>
      <c r="AC475" s="11">
        <f t="shared" ca="1" si="260"/>
        <v>-12.672396521616951</v>
      </c>
      <c r="AD475" s="26"/>
      <c r="AE475" s="26"/>
    </row>
    <row r="476" spans="1:31" x14ac:dyDescent="0.2">
      <c r="A476" s="81" t="s">
        <v>850</v>
      </c>
      <c r="F476" s="7" t="str">
        <f t="shared" ref="F476:AC476" si="261">IF(ROUND(F$469+SUM(F$474,F$475),3)=0,"OK","ERROR")</f>
        <v>OK</v>
      </c>
      <c r="G476" s="7" t="str">
        <f t="shared" si="261"/>
        <v>OK</v>
      </c>
      <c r="H476" s="7" t="str">
        <f t="shared" si="261"/>
        <v>OK</v>
      </c>
      <c r="I476" s="7" t="str">
        <f t="shared" si="261"/>
        <v>OK</v>
      </c>
      <c r="J476" s="7" t="str">
        <f t="shared" si="261"/>
        <v>OK</v>
      </c>
      <c r="K476" s="7" t="str">
        <f t="shared" si="261"/>
        <v>OK</v>
      </c>
      <c r="L476" s="7" t="str">
        <f t="shared" si="261"/>
        <v>OK</v>
      </c>
      <c r="M476" s="7" t="str">
        <f t="shared" si="261"/>
        <v>OK</v>
      </c>
      <c r="N476" s="7" t="str">
        <f t="shared" si="261"/>
        <v>OK</v>
      </c>
      <c r="O476" s="7" t="str">
        <f t="shared" si="261"/>
        <v>OK</v>
      </c>
      <c r="P476" s="7" t="str">
        <f t="shared" si="261"/>
        <v>OK</v>
      </c>
      <c r="Q476" s="7" t="str">
        <f t="shared" si="261"/>
        <v>OK</v>
      </c>
      <c r="R476" s="7" t="str">
        <f t="shared" si="261"/>
        <v>OK</v>
      </c>
      <c r="S476" s="7" t="str">
        <f t="shared" si="261"/>
        <v>OK</v>
      </c>
      <c r="T476" s="7" t="str">
        <f t="shared" ca="1" si="261"/>
        <v>OK</v>
      </c>
      <c r="U476" s="7" t="str">
        <f t="shared" ca="1" si="261"/>
        <v>OK</v>
      </c>
      <c r="V476" s="7" t="str">
        <f t="shared" ca="1" si="261"/>
        <v>OK</v>
      </c>
      <c r="W476" s="7" t="str">
        <f t="shared" ca="1" si="261"/>
        <v>OK</v>
      </c>
      <c r="X476" s="7" t="str">
        <f t="shared" ca="1" si="261"/>
        <v>OK</v>
      </c>
      <c r="Y476" s="7" t="str">
        <f t="shared" ca="1" si="261"/>
        <v>OK</v>
      </c>
      <c r="Z476" s="7" t="str">
        <f t="shared" ca="1" si="261"/>
        <v>OK</v>
      </c>
      <c r="AA476" s="7" t="str">
        <f t="shared" ca="1" si="261"/>
        <v>OK</v>
      </c>
      <c r="AB476" s="7" t="str">
        <f t="shared" ca="1" si="261"/>
        <v>OK</v>
      </c>
      <c r="AC476" s="7" t="str">
        <f t="shared" ca="1" si="261"/>
        <v>OK</v>
      </c>
      <c r="AD476" s="26"/>
      <c r="AE476" s="26"/>
    </row>
    <row r="477" spans="1:31" x14ac:dyDescent="0.2">
      <c r="A477" s="81" t="s">
        <v>851</v>
      </c>
      <c r="F477" s="62"/>
      <c r="G477" s="62"/>
      <c r="H477" s="62"/>
      <c r="I477" s="62"/>
      <c r="J477" s="62"/>
      <c r="K477" s="62"/>
      <c r="L477" s="62"/>
      <c r="M477" s="70"/>
      <c r="N477" s="70"/>
      <c r="O477" s="70"/>
      <c r="P477" s="70"/>
      <c r="Q477" s="70"/>
      <c r="R477" s="70"/>
      <c r="S477" s="70"/>
      <c r="T477" s="7" t="str">
        <f t="shared" ref="T477:AC477" ca="1" si="262">IF(ROUND(T$469+(T$92-S$92+T$424-S$424+(T$162-T$392-T$362-T$458)-(T$223-(-T$462))+T$327-T$365),3)=0,"OK","ERROR")</f>
        <v>OK</v>
      </c>
      <c r="U477" s="7" t="str">
        <f t="shared" ca="1" si="262"/>
        <v>OK</v>
      </c>
      <c r="V477" s="7" t="str">
        <f t="shared" ca="1" si="262"/>
        <v>OK</v>
      </c>
      <c r="W477" s="7" t="str">
        <f t="shared" ca="1" si="262"/>
        <v>OK</v>
      </c>
      <c r="X477" s="7" t="str">
        <f t="shared" ca="1" si="262"/>
        <v>OK</v>
      </c>
      <c r="Y477" s="7" t="str">
        <f t="shared" ca="1" si="262"/>
        <v>OK</v>
      </c>
      <c r="Z477" s="7" t="str">
        <f t="shared" ca="1" si="262"/>
        <v>OK</v>
      </c>
      <c r="AA477" s="7" t="str">
        <f t="shared" ca="1" si="262"/>
        <v>OK</v>
      </c>
      <c r="AB477" s="7" t="str">
        <f t="shared" ca="1" si="262"/>
        <v>OK</v>
      </c>
      <c r="AC477" s="7" t="str">
        <f t="shared" ca="1" si="262"/>
        <v>OK</v>
      </c>
      <c r="AD477" s="26"/>
      <c r="AE477" s="26"/>
    </row>
    <row r="478" spans="1:31" x14ac:dyDescent="0.2">
      <c r="A478" s="31"/>
      <c r="F478" s="62"/>
      <c r="G478" s="62"/>
      <c r="H478" s="62"/>
      <c r="I478" s="62"/>
      <c r="J478" s="62"/>
      <c r="K478" s="62"/>
      <c r="L478" s="62"/>
      <c r="M478" s="70"/>
      <c r="N478" s="70"/>
      <c r="O478" s="70"/>
      <c r="P478" s="70"/>
      <c r="Q478" s="70"/>
      <c r="R478" s="63"/>
      <c r="S478" s="63"/>
      <c r="T478" s="63"/>
      <c r="U478" s="63"/>
      <c r="V478" s="63"/>
      <c r="W478" s="63"/>
      <c r="X478" s="63"/>
      <c r="Y478" s="63"/>
      <c r="Z478" s="63"/>
      <c r="AA478" s="63"/>
      <c r="AB478" s="63"/>
      <c r="AC478" s="63"/>
      <c r="AD478" s="26"/>
      <c r="AE478" s="26"/>
    </row>
    <row r="479" spans="1:31" ht="15.75" x14ac:dyDescent="0.25">
      <c r="A479" s="1" t="s">
        <v>776</v>
      </c>
      <c r="B479" s="4" t="str">
        <f>$B$73</f>
        <v>Projected Years only</v>
      </c>
      <c r="F479" s="7"/>
      <c r="G479" s="7"/>
      <c r="H479" s="7"/>
      <c r="I479" s="7"/>
      <c r="J479" s="7"/>
      <c r="K479" s="7"/>
      <c r="L479" s="7"/>
      <c r="M479" s="7"/>
      <c r="N479" s="7"/>
      <c r="O479" s="7"/>
      <c r="P479" s="7"/>
      <c r="Q479" s="7"/>
      <c r="R479" s="63"/>
      <c r="AD479" s="26"/>
      <c r="AE479" s="26"/>
    </row>
    <row r="480" spans="1:31" x14ac:dyDescent="0.2">
      <c r="A480" s="3" t="s">
        <v>826</v>
      </c>
      <c r="F480" s="7"/>
      <c r="G480" s="7"/>
      <c r="H480" s="7"/>
      <c r="I480" s="7"/>
      <c r="J480" s="7"/>
      <c r="K480" s="7"/>
      <c r="L480" s="7"/>
      <c r="M480" s="7"/>
      <c r="N480" s="7"/>
      <c r="O480" s="7"/>
      <c r="P480" s="7"/>
      <c r="Q480" s="7"/>
      <c r="R480" s="63"/>
      <c r="T480" s="26">
        <f t="shared" ref="T480:AC480" ca="1" si="263">SUM(T$456-T$363,T$457,T$458+T$362-(T$348-S$348),T$459)-SUM(-T$460,-T$461+T$364-(T$427-S$427),-T$462,T$241,T$243)</f>
        <v>8.2567917251930822</v>
      </c>
      <c r="U480" s="26">
        <f t="shared" ca="1" si="263"/>
        <v>9.6388824164608025</v>
      </c>
      <c r="V480" s="26">
        <f t="shared" ca="1" si="263"/>
        <v>10.845923126698892</v>
      </c>
      <c r="W480" s="26">
        <f t="shared" ca="1" si="263"/>
        <v>12.07968587830851</v>
      </c>
      <c r="X480" s="26">
        <f t="shared" ca="1" si="263"/>
        <v>13.254783033403356</v>
      </c>
      <c r="Y480" s="26">
        <f t="shared" ca="1" si="263"/>
        <v>14.541381858650269</v>
      </c>
      <c r="Z480" s="26">
        <f t="shared" ca="1" si="263"/>
        <v>15.947718628786575</v>
      </c>
      <c r="AA480" s="26">
        <f t="shared" ca="1" si="263"/>
        <v>17.596667277167384</v>
      </c>
      <c r="AB480" s="26">
        <f t="shared" ca="1" si="263"/>
        <v>19.376305124341386</v>
      </c>
      <c r="AC480" s="26">
        <f t="shared" ca="1" si="263"/>
        <v>21.356236163270324</v>
      </c>
      <c r="AD480" s="26"/>
      <c r="AE480" s="26"/>
    </row>
    <row r="481" spans="1:31" x14ac:dyDescent="0.2">
      <c r="A481" s="3" t="s">
        <v>852</v>
      </c>
      <c r="F481" s="7"/>
      <c r="G481" s="7"/>
      <c r="H481" s="7"/>
      <c r="I481" s="7"/>
      <c r="J481" s="7"/>
      <c r="K481" s="7"/>
      <c r="L481" s="7"/>
      <c r="M481" s="7"/>
      <c r="N481" s="7"/>
      <c r="O481" s="7"/>
      <c r="P481" s="7"/>
      <c r="Q481" s="7"/>
      <c r="R481" s="63"/>
      <c r="T481" s="26">
        <f t="shared" ref="T481:AC481" ca="1" si="264">T$464-(T$372-S$372)+T$465-(T$380-S$380)+T$466+T$471-(T$370-SUM(T$343,T$348,T$380)-(S$370-SUM(S$343,S$348,S$380)))+T$365-SUM(T$323-S$323,T$324-S$324)</f>
        <v>-6.4341984236339016</v>
      </c>
      <c r="U481" s="26">
        <f t="shared" ca="1" si="264"/>
        <v>-5.999031970103422</v>
      </c>
      <c r="V481" s="26">
        <f t="shared" ca="1" si="264"/>
        <v>-8.7544800768690703</v>
      </c>
      <c r="W481" s="26">
        <f t="shared" ca="1" si="264"/>
        <v>-8.7173017079529149</v>
      </c>
      <c r="X481" s="26">
        <f t="shared" ca="1" si="264"/>
        <v>-8.718668951212635</v>
      </c>
      <c r="Y481" s="26">
        <f t="shared" ca="1" si="264"/>
        <v>-8.6645842577139298</v>
      </c>
      <c r="Z481" s="26">
        <f t="shared" ca="1" si="264"/>
        <v>-8.6010068153087111</v>
      </c>
      <c r="AA481" s="26">
        <f t="shared" ca="1" si="264"/>
        <v>-8.5268214637214257</v>
      </c>
      <c r="AB481" s="26">
        <f t="shared" ca="1" si="264"/>
        <v>-8.4439711354757954</v>
      </c>
      <c r="AC481" s="26">
        <f t="shared" ca="1" si="264"/>
        <v>-8.4055172567570899</v>
      </c>
      <c r="AD481" s="26"/>
      <c r="AE481" s="26"/>
    </row>
    <row r="482" spans="1:31" x14ac:dyDescent="0.2">
      <c r="A482" s="3" t="s">
        <v>277</v>
      </c>
      <c r="F482" s="7"/>
      <c r="G482" s="7"/>
      <c r="H482" s="7"/>
      <c r="I482" s="7"/>
      <c r="J482" s="7"/>
      <c r="K482" s="7"/>
      <c r="L482" s="7"/>
      <c r="M482" s="7"/>
      <c r="N482" s="7"/>
      <c r="O482" s="7"/>
      <c r="P482" s="7"/>
      <c r="Q482" s="7"/>
      <c r="R482" s="63"/>
      <c r="T482" s="26">
        <f t="shared" ref="T482:AC482" ca="1" si="265">T$112</f>
        <v>0.27744583944558165</v>
      </c>
      <c r="U482" s="26">
        <f t="shared" ca="1" si="265"/>
        <v>0.28923254103590601</v>
      </c>
      <c r="V482" s="26">
        <f t="shared" ca="1" si="265"/>
        <v>0.3058688710213211</v>
      </c>
      <c r="W482" s="26">
        <f t="shared" ca="1" si="265"/>
        <v>0.31723875523519585</v>
      </c>
      <c r="X482" s="26">
        <f t="shared" ca="1" si="265"/>
        <v>0.33032231642033061</v>
      </c>
      <c r="Y482" s="26">
        <f t="shared" ca="1" si="265"/>
        <v>0.34100212462447832</v>
      </c>
      <c r="Z482" s="26">
        <f t="shared" ca="1" si="265"/>
        <v>0.35098752125224131</v>
      </c>
      <c r="AA482" s="26">
        <f t="shared" ca="1" si="265"/>
        <v>0.36121985666131273</v>
      </c>
      <c r="AB482" s="26">
        <f t="shared" ca="1" si="265"/>
        <v>0.37005733159491605</v>
      </c>
      <c r="AC482" s="26">
        <f t="shared" ca="1" si="265"/>
        <v>0.38082343904192051</v>
      </c>
      <c r="AD482" s="26"/>
      <c r="AE482" s="26"/>
    </row>
    <row r="483" spans="1:31" x14ac:dyDescent="0.2">
      <c r="A483" s="3" t="s">
        <v>853</v>
      </c>
      <c r="R483" s="63"/>
      <c r="T483" s="26">
        <f t="shared" ref="T483:AC483" ca="1" si="266">T$345-S$345-SUM(T$480:T$482)</f>
        <v>-1.8141120732570464</v>
      </c>
      <c r="U483" s="26">
        <f t="shared" ca="1" si="266"/>
        <v>-3.1900099088244964</v>
      </c>
      <c r="V483" s="26">
        <f t="shared" ca="1" si="266"/>
        <v>-1.3027129174693943</v>
      </c>
      <c r="W483" s="26">
        <f t="shared" ca="1" si="266"/>
        <v>-2.5741614952987542</v>
      </c>
      <c r="X483" s="26">
        <f t="shared" ca="1" si="266"/>
        <v>-3.752250422738225</v>
      </c>
      <c r="Y483" s="26">
        <f t="shared" ca="1" si="266"/>
        <v>-5.1066755221667401</v>
      </c>
      <c r="Z483" s="26">
        <f t="shared" ca="1" si="266"/>
        <v>-6.5690064535890915</v>
      </c>
      <c r="AA483" s="26">
        <f t="shared" ca="1" si="266"/>
        <v>-8.2854017239249611</v>
      </c>
      <c r="AB483" s="26">
        <f t="shared" ca="1" si="266"/>
        <v>-10.141664436381673</v>
      </c>
      <c r="AC483" s="26">
        <f t="shared" ca="1" si="266"/>
        <v>-12.148626356459809</v>
      </c>
      <c r="AD483" s="26"/>
      <c r="AE483" s="26"/>
    </row>
    <row r="484" spans="1:31" x14ac:dyDescent="0.2">
      <c r="A484" s="31" t="s">
        <v>779</v>
      </c>
      <c r="R484" s="63"/>
      <c r="T484" s="58">
        <f t="shared" ref="T484:AC484" ca="1" si="267">SUM(T$480:T$483)</f>
        <v>0.28592706774771592</v>
      </c>
      <c r="U484" s="58">
        <f t="shared" ca="1" si="267"/>
        <v>0.73907307856879001</v>
      </c>
      <c r="V484" s="58">
        <f t="shared" ca="1" si="267"/>
        <v>1.0945990033817488</v>
      </c>
      <c r="W484" s="58">
        <f t="shared" ca="1" si="267"/>
        <v>1.1054614302920367</v>
      </c>
      <c r="X484" s="58">
        <f t="shared" ca="1" si="267"/>
        <v>1.114185975872827</v>
      </c>
      <c r="Y484" s="58">
        <f t="shared" ca="1" si="267"/>
        <v>1.1111242033940769</v>
      </c>
      <c r="Z484" s="58">
        <f t="shared" ca="1" si="267"/>
        <v>1.1286928811410135</v>
      </c>
      <c r="AA484" s="58">
        <f t="shared" ca="1" si="267"/>
        <v>1.1456639461823102</v>
      </c>
      <c r="AB484" s="58">
        <f t="shared" ca="1" si="267"/>
        <v>1.1607268840788336</v>
      </c>
      <c r="AC484" s="58">
        <f t="shared" ca="1" si="267"/>
        <v>1.1829159890953456</v>
      </c>
      <c r="AD484" s="26"/>
      <c r="AE484" s="26"/>
    </row>
    <row r="485" spans="1:31" x14ac:dyDescent="0.2">
      <c r="A485" s="31" t="s">
        <v>717</v>
      </c>
      <c r="B485" s="4" t="str">
        <f>$B$73</f>
        <v>Projected Years only</v>
      </c>
      <c r="Q485" s="26"/>
      <c r="R485" s="63"/>
      <c r="T485" s="26"/>
      <c r="U485" s="26"/>
      <c r="V485" s="26"/>
      <c r="W485" s="26"/>
      <c r="X485" s="26"/>
      <c r="Y485" s="26"/>
      <c r="Z485" s="26"/>
      <c r="AA485" s="26"/>
      <c r="AB485" s="26"/>
      <c r="AC485" s="26"/>
      <c r="AD485" s="26"/>
      <c r="AE485" s="26"/>
    </row>
    <row r="486" spans="1:31" x14ac:dyDescent="0.2">
      <c r="A486" s="31" t="s">
        <v>718</v>
      </c>
      <c r="R486" s="63"/>
      <c r="T486" s="11">
        <f t="shared" ref="T486:AC486" ca="1" si="268">SUM(T$480,T$327,T$338)</f>
        <v>10.521392387419125</v>
      </c>
      <c r="U486" s="11">
        <f t="shared" ca="1" si="268"/>
        <v>12.093191122340055</v>
      </c>
      <c r="V486" s="11">
        <f t="shared" ca="1" si="268"/>
        <v>13.560217272964467</v>
      </c>
      <c r="W486" s="11">
        <f t="shared" ca="1" si="268"/>
        <v>15.106851401263542</v>
      </c>
      <c r="X486" s="11">
        <f t="shared" ca="1" si="268"/>
        <v>16.602508065736757</v>
      </c>
      <c r="Y486" s="11">
        <f t="shared" ca="1" si="268"/>
        <v>18.215797190762807</v>
      </c>
      <c r="Z486" s="11">
        <f t="shared" ca="1" si="268"/>
        <v>19.952501670915268</v>
      </c>
      <c r="AA486" s="11">
        <f t="shared" ca="1" si="268"/>
        <v>21.934079961624594</v>
      </c>
      <c r="AB486" s="11">
        <f t="shared" ca="1" si="268"/>
        <v>24.048329297791874</v>
      </c>
      <c r="AC486" s="11">
        <f t="shared" ca="1" si="268"/>
        <v>26.365915644828778</v>
      </c>
      <c r="AD486" s="26"/>
      <c r="AE486" s="26"/>
    </row>
    <row r="487" spans="1:31" x14ac:dyDescent="0.2">
      <c r="A487" s="3" t="s">
        <v>719</v>
      </c>
      <c r="R487" s="63"/>
      <c r="T487" s="77">
        <f t="shared" ref="T487:AC487" ca="1" si="269">SUM(T$390,T$393)</f>
        <v>-0.71599999999999997</v>
      </c>
      <c r="U487" s="77">
        <f t="shared" ca="1" si="269"/>
        <v>-0.72799999999999998</v>
      </c>
      <c r="V487" s="77">
        <f t="shared" ca="1" si="269"/>
        <v>-0.74299999999999999</v>
      </c>
      <c r="W487" s="77">
        <f t="shared" ca="1" si="269"/>
        <v>-0.75800000000000001</v>
      </c>
      <c r="X487" s="77">
        <f t="shared" ca="1" si="269"/>
        <v>-0.78300000000000003</v>
      </c>
      <c r="Y487" s="77">
        <f t="shared" ca="1" si="269"/>
        <v>-0.80400000000000005</v>
      </c>
      <c r="Z487" s="77">
        <f t="shared" ca="1" si="269"/>
        <v>-0.82900000000000007</v>
      </c>
      <c r="AA487" s="77">
        <f t="shared" ca="1" si="269"/>
        <v>-0.85400000000000009</v>
      </c>
      <c r="AB487" s="77">
        <f t="shared" ca="1" si="269"/>
        <v>-0.87600000000000011</v>
      </c>
      <c r="AC487" s="77">
        <f t="shared" ca="1" si="269"/>
        <v>-0.89900000000000013</v>
      </c>
      <c r="AD487" s="26"/>
      <c r="AE487" s="26"/>
    </row>
    <row r="488" spans="1:31" x14ac:dyDescent="0.2">
      <c r="A488" s="3" t="s">
        <v>290</v>
      </c>
      <c r="R488" s="63"/>
      <c r="T488" s="26">
        <f t="shared" ref="T488:AC488" si="270">-(T$444-S$444+T$334)</f>
        <v>0.27406227144486905</v>
      </c>
      <c r="U488" s="26">
        <f t="shared" si="270"/>
        <v>0.28691324945976859</v>
      </c>
      <c r="V488" s="26">
        <f t="shared" si="270"/>
        <v>0.29169487606794231</v>
      </c>
      <c r="W488" s="26">
        <f t="shared" si="270"/>
        <v>0.28588760135246627</v>
      </c>
      <c r="X488" s="26">
        <f t="shared" si="270"/>
        <v>0.27856520085054193</v>
      </c>
      <c r="Y488" s="26">
        <f t="shared" si="270"/>
        <v>0.26796780993615865</v>
      </c>
      <c r="Z488" s="26">
        <f t="shared" si="270"/>
        <v>0.2606496542296064</v>
      </c>
      <c r="AA488" s="26">
        <f t="shared" si="270"/>
        <v>0.25635750530056978</v>
      </c>
      <c r="AB488" s="26">
        <f t="shared" si="270"/>
        <v>0.2624052740602556</v>
      </c>
      <c r="AC488" s="26">
        <f t="shared" si="270"/>
        <v>0.26668893339855071</v>
      </c>
      <c r="AD488" s="26"/>
      <c r="AE488" s="26"/>
    </row>
    <row r="489" spans="1:31" x14ac:dyDescent="0.2">
      <c r="A489" s="3" t="s">
        <v>291</v>
      </c>
      <c r="R489" s="63"/>
      <c r="T489" s="26">
        <f t="shared" ref="T489:AC489" ca="1" si="271">-(T$437-S$437)</f>
        <v>-3.8748262548262899E-4</v>
      </c>
      <c r="U489" s="26">
        <f t="shared" ca="1" si="271"/>
        <v>-3.8774965250965368E-4</v>
      </c>
      <c r="V489" s="26">
        <f t="shared" ca="1" si="271"/>
        <v>-3.9550464555984308E-4</v>
      </c>
      <c r="W489" s="26">
        <f t="shared" ca="1" si="271"/>
        <v>-4.0341473847104251E-4</v>
      </c>
      <c r="X489" s="26">
        <f t="shared" ca="1" si="271"/>
        <v>-4.1148303324046315E-4</v>
      </c>
      <c r="Y489" s="26">
        <f t="shared" ca="1" si="271"/>
        <v>-4.1971269390527269E-4</v>
      </c>
      <c r="Z489" s="26">
        <f t="shared" ca="1" si="271"/>
        <v>-4.2810694778338057E-4</v>
      </c>
      <c r="AA489" s="26">
        <f t="shared" ca="1" si="271"/>
        <v>-4.3666908673904367E-4</v>
      </c>
      <c r="AB489" s="26">
        <f t="shared" ca="1" si="271"/>
        <v>-4.4540246847383017E-4</v>
      </c>
      <c r="AC489" s="26">
        <f t="shared" ca="1" si="271"/>
        <v>-4.543105178433024E-4</v>
      </c>
      <c r="AD489" s="26"/>
      <c r="AE489" s="26"/>
    </row>
    <row r="490" spans="1:31" x14ac:dyDescent="0.2">
      <c r="A490" s="3" t="s">
        <v>257</v>
      </c>
      <c r="R490" s="63"/>
      <c r="T490" s="78">
        <f t="shared" ref="T490:AC490" ca="1" si="272">T$340</f>
        <v>9.7130376671752686E-2</v>
      </c>
      <c r="U490" s="78">
        <f t="shared" ca="1" si="272"/>
        <v>0.10143622368893522</v>
      </c>
      <c r="V490" s="78">
        <f t="shared" ca="1" si="272"/>
        <v>0.10598973817668661</v>
      </c>
      <c r="W490" s="78">
        <f t="shared" ca="1" si="272"/>
        <v>0.11071251778880013</v>
      </c>
      <c r="X490" s="78">
        <f t="shared" ca="1" si="272"/>
        <v>0.11563007428425247</v>
      </c>
      <c r="Y490" s="78">
        <f t="shared" ca="1" si="272"/>
        <v>0.12070662264187636</v>
      </c>
      <c r="Z490" s="78">
        <f t="shared" ca="1" si="272"/>
        <v>0.12593182505526812</v>
      </c>
      <c r="AA490" s="78">
        <f t="shared" ca="1" si="272"/>
        <v>0.13130935773807617</v>
      </c>
      <c r="AB490" s="78">
        <f t="shared" ca="1" si="272"/>
        <v>0.13681845519898977</v>
      </c>
      <c r="AC490" s="78">
        <f t="shared" ca="1" si="272"/>
        <v>0.14248782927148837</v>
      </c>
      <c r="AD490" s="26"/>
      <c r="AE490" s="26"/>
    </row>
    <row r="491" spans="1:31" x14ac:dyDescent="0.2">
      <c r="A491" s="31" t="s">
        <v>720</v>
      </c>
      <c r="R491" s="63"/>
      <c r="T491" s="58">
        <f t="shared" ref="T491:AC491" ca="1" si="273">SUM(T$487:T$490,-T$209)</f>
        <v>-2.1263673060444814</v>
      </c>
      <c r="U491" s="58">
        <f t="shared" ca="1" si="273"/>
        <v>-2.1696171829227402</v>
      </c>
      <c r="V491" s="58">
        <f t="shared" ca="1" si="273"/>
        <v>-2.2235189220012641</v>
      </c>
      <c r="W491" s="58">
        <f t="shared" ca="1" si="273"/>
        <v>-2.2921511239600596</v>
      </c>
      <c r="X491" s="58">
        <f t="shared" ca="1" si="273"/>
        <v>-2.3716016280346945</v>
      </c>
      <c r="Y491" s="58">
        <f t="shared" ca="1" si="273"/>
        <v>-2.4512349618062781</v>
      </c>
      <c r="Z491" s="58">
        <f t="shared" ca="1" si="273"/>
        <v>-2.5324542593963488</v>
      </c>
      <c r="AA491" s="58">
        <f t="shared" ca="1" si="273"/>
        <v>-2.6114633087125885</v>
      </c>
      <c r="AB491" s="58">
        <f t="shared" ca="1" si="273"/>
        <v>-2.6779750423447055</v>
      </c>
      <c r="AC491" s="58">
        <f t="shared" ca="1" si="273"/>
        <v>-2.7480815537486487</v>
      </c>
      <c r="AD491" s="26"/>
      <c r="AE491" s="26"/>
    </row>
    <row r="492" spans="1:31" x14ac:dyDescent="0.2">
      <c r="A492" s="3" t="s">
        <v>293</v>
      </c>
      <c r="R492" s="63"/>
      <c r="T492" s="26">
        <f t="shared" ref="T492:AC492" ca="1" si="274">T$351-S$351-(T$428-S$428)</f>
        <v>0.25924507909747518</v>
      </c>
      <c r="U492" s="26">
        <f t="shared" ca="1" si="274"/>
        <v>0.18173276247323678</v>
      </c>
      <c r="V492" s="26">
        <f t="shared" ca="1" si="274"/>
        <v>0.35155441940750265</v>
      </c>
      <c r="W492" s="26">
        <f t="shared" ca="1" si="274"/>
        <v>0.36135203016099471</v>
      </c>
      <c r="X492" s="26">
        <f t="shared" ca="1" si="274"/>
        <v>0.37077864440306652</v>
      </c>
      <c r="Y492" s="26">
        <f t="shared" ca="1" si="274"/>
        <v>0.37769579337689674</v>
      </c>
      <c r="Z492" s="26">
        <f t="shared" ca="1" si="274"/>
        <v>0.38237618211320168</v>
      </c>
      <c r="AA492" s="26">
        <f t="shared" ca="1" si="274"/>
        <v>0.38668989441387858</v>
      </c>
      <c r="AB492" s="26">
        <f t="shared" ca="1" si="274"/>
        <v>0.3910026430772664</v>
      </c>
      <c r="AC492" s="26">
        <f t="shared" ca="1" si="274"/>
        <v>0.39761591564932885</v>
      </c>
      <c r="AD492" s="26"/>
      <c r="AE492" s="26"/>
    </row>
    <row r="493" spans="1:31" x14ac:dyDescent="0.2">
      <c r="A493" s="3" t="s">
        <v>294</v>
      </c>
      <c r="R493" s="63"/>
      <c r="T493" s="26">
        <f t="shared" ref="T493:AC493" ca="1" si="275">T$162-(T$348-S$348)-(T$458+T$362-(T$348-S$348))-(T$223-(-T$462))</f>
        <v>0.19341103345818755</v>
      </c>
      <c r="U493" s="26">
        <f t="shared" ca="1" si="275"/>
        <v>0.18973042859752631</v>
      </c>
      <c r="V493" s="26">
        <f t="shared" ca="1" si="275"/>
        <v>0.17928706905710801</v>
      </c>
      <c r="W493" s="26">
        <f t="shared" ca="1" si="275"/>
        <v>0.17769777346786197</v>
      </c>
      <c r="X493" s="26">
        <f t="shared" ca="1" si="275"/>
        <v>0.18111488849585866</v>
      </c>
      <c r="Y493" s="26">
        <f t="shared" ca="1" si="275"/>
        <v>0.18705828743883179</v>
      </c>
      <c r="Z493" s="26">
        <f t="shared" ca="1" si="275"/>
        <v>0.19711140376084657</v>
      </c>
      <c r="AA493" s="26">
        <f t="shared" ca="1" si="275"/>
        <v>0.22243953624284485</v>
      </c>
      <c r="AB493" s="26">
        <f t="shared" ca="1" si="275"/>
        <v>0.25033830527883127</v>
      </c>
      <c r="AC493" s="26">
        <f t="shared" ca="1" si="275"/>
        <v>0.28603862528432389</v>
      </c>
      <c r="AD493" s="26"/>
      <c r="AE493" s="26"/>
    </row>
    <row r="494" spans="1:31" x14ac:dyDescent="0.2">
      <c r="A494" s="3" t="s">
        <v>295</v>
      </c>
      <c r="R494" s="63"/>
      <c r="T494" s="26">
        <f t="shared" ref="T494:AC494" ca="1" si="276">T$397-S$397</f>
        <v>2.7422873917139656E-2</v>
      </c>
      <c r="U494" s="26">
        <f t="shared" ca="1" si="276"/>
        <v>2.7334585801350619E-2</v>
      </c>
      <c r="V494" s="26">
        <f t="shared" ca="1" si="276"/>
        <v>2.7433219675971454E-2</v>
      </c>
      <c r="W494" s="26">
        <f t="shared" ca="1" si="276"/>
        <v>2.6958801546631883E-2</v>
      </c>
      <c r="X494" s="26">
        <f t="shared" ca="1" si="276"/>
        <v>2.6403616144292097E-2</v>
      </c>
      <c r="Y494" s="26">
        <f t="shared" ca="1" si="276"/>
        <v>2.5444326152831542E-2</v>
      </c>
      <c r="Z494" s="26">
        <f t="shared" ca="1" si="276"/>
        <v>2.618939977617607E-2</v>
      </c>
      <c r="AA494" s="26">
        <f t="shared" ca="1" si="276"/>
        <v>2.6952899064458413E-2</v>
      </c>
      <c r="AB494" s="26">
        <f t="shared" ca="1" si="276"/>
        <v>2.7612318986917295E-2</v>
      </c>
      <c r="AC494" s="26">
        <f t="shared" ca="1" si="276"/>
        <v>2.8415646384304161E-2</v>
      </c>
      <c r="AD494" s="26"/>
      <c r="AE494" s="26"/>
    </row>
    <row r="495" spans="1:31" x14ac:dyDescent="0.2">
      <c r="A495" s="3" t="s">
        <v>296</v>
      </c>
      <c r="R495" s="63"/>
      <c r="T495" s="26">
        <f t="shared" ref="T495:AC495" ca="1" si="277">T$400-S$400</f>
        <v>5.8584888097111376E-2</v>
      </c>
      <c r="U495" s="26">
        <f t="shared" ca="1" si="277"/>
        <v>6.0220398305582901E-2</v>
      </c>
      <c r="V495" s="26">
        <f t="shared" ca="1" si="277"/>
        <v>6.2680843730684499E-2</v>
      </c>
      <c r="W495" s="26">
        <f t="shared" ca="1" si="277"/>
        <v>6.39934814093992E-2</v>
      </c>
      <c r="X495" s="26">
        <f t="shared" ca="1" si="277"/>
        <v>6.5497653987820925E-2</v>
      </c>
      <c r="Y495" s="26">
        <f t="shared" ca="1" si="277"/>
        <v>6.6380876701895852E-2</v>
      </c>
      <c r="Z495" s="26">
        <f t="shared" ca="1" si="277"/>
        <v>6.8324675096398391E-2</v>
      </c>
      <c r="AA495" s="26">
        <f t="shared" ca="1" si="277"/>
        <v>7.0316543610150273E-2</v>
      </c>
      <c r="AB495" s="26">
        <f t="shared" ca="1" si="277"/>
        <v>7.2036882844311423E-2</v>
      </c>
      <c r="AC495" s="26">
        <f t="shared" ca="1" si="277"/>
        <v>7.4132657619280673E-2</v>
      </c>
      <c r="AD495" s="26"/>
      <c r="AE495" s="26"/>
    </row>
    <row r="496" spans="1:31" x14ac:dyDescent="0.2">
      <c r="A496" s="3" t="s">
        <v>297</v>
      </c>
      <c r="R496" s="63"/>
      <c r="T496" s="26">
        <f t="shared" ref="T496:AC496" ca="1" si="278">-(T$433-S$433)</f>
        <v>-3.5284116529500031E-2</v>
      </c>
      <c r="U496" s="26">
        <f t="shared" ca="1" si="278"/>
        <v>-3.4070233300723507E-2</v>
      </c>
      <c r="V496" s="26">
        <f t="shared" ca="1" si="278"/>
        <v>-3.2840138144301201E-2</v>
      </c>
      <c r="W496" s="26">
        <f t="shared" ca="1" si="278"/>
        <v>-3.0826612661901009E-2</v>
      </c>
      <c r="X496" s="26">
        <f t="shared" ca="1" si="278"/>
        <v>-2.8489557435549151E-2</v>
      </c>
      <c r="Y496" s="26">
        <f t="shared" ca="1" si="278"/>
        <v>-2.5486366294065421E-2</v>
      </c>
      <c r="Z496" s="26">
        <f t="shared" ca="1" si="278"/>
        <v>-2.6232670958081572E-2</v>
      </c>
      <c r="AA496" s="26">
        <f t="shared" ca="1" si="278"/>
        <v>-2.6997431730661825E-2</v>
      </c>
      <c r="AB496" s="26">
        <f t="shared" ca="1" si="278"/>
        <v>-2.765794117329512E-2</v>
      </c>
      <c r="AC496" s="26">
        <f t="shared" ca="1" si="278"/>
        <v>-2.8462595860587081E-2</v>
      </c>
      <c r="AD496" s="26"/>
      <c r="AE496" s="26"/>
    </row>
    <row r="497" spans="1:31" x14ac:dyDescent="0.2">
      <c r="A497" s="3" t="s">
        <v>298</v>
      </c>
      <c r="R497" s="63"/>
      <c r="T497" s="26">
        <f t="shared" ref="T497:AC497" ca="1" si="279">-(SUM(T$430-T$428,T$452)-SUM(S$430-S$428,S$452))</f>
        <v>-0.49364405842272863</v>
      </c>
      <c r="U497" s="26">
        <f t="shared" ca="1" si="279"/>
        <v>-0.48472076792555718</v>
      </c>
      <c r="V497" s="26">
        <f t="shared" ca="1" si="279"/>
        <v>-0.56073346793648771</v>
      </c>
      <c r="W497" s="26">
        <f t="shared" ca="1" si="279"/>
        <v>-0.54766515213577094</v>
      </c>
      <c r="X497" s="26">
        <f t="shared" ca="1" si="279"/>
        <v>-0.53156165383524723</v>
      </c>
      <c r="Y497" s="26">
        <f t="shared" ca="1" si="279"/>
        <v>-0.50691087040878813</v>
      </c>
      <c r="Z497" s="26">
        <f t="shared" ca="1" si="279"/>
        <v>-0.51818869510806564</v>
      </c>
      <c r="AA497" s="26">
        <f t="shared" ca="1" si="279"/>
        <v>-0.52949954570905433</v>
      </c>
      <c r="AB497" s="26">
        <f t="shared" ca="1" si="279"/>
        <v>-0.53936508054374244</v>
      </c>
      <c r="AC497" s="26">
        <f t="shared" ca="1" si="279"/>
        <v>-0.55229815621701661</v>
      </c>
      <c r="AD497" s="26"/>
      <c r="AE497" s="26"/>
    </row>
    <row r="498" spans="1:31" x14ac:dyDescent="0.2">
      <c r="A498" s="31" t="s">
        <v>299</v>
      </c>
      <c r="B498" s="4"/>
      <c r="R498" s="63"/>
      <c r="T498" s="58">
        <f t="shared" ref="T498:AC498" ca="1" si="280">SUM(T$492:T$497)</f>
        <v>9.7356996176850563E-3</v>
      </c>
      <c r="U498" s="58">
        <f t="shared" ca="1" si="280"/>
        <v>-5.9772826048584082E-2</v>
      </c>
      <c r="V498" s="58">
        <f t="shared" ca="1" si="280"/>
        <v>2.7381945790477702E-2</v>
      </c>
      <c r="W498" s="58">
        <f t="shared" ca="1" si="280"/>
        <v>5.1510321787215818E-2</v>
      </c>
      <c r="X498" s="58">
        <f t="shared" ca="1" si="280"/>
        <v>8.374359176024182E-2</v>
      </c>
      <c r="Y498" s="58">
        <f t="shared" ca="1" si="280"/>
        <v>0.12418204696760238</v>
      </c>
      <c r="Z498" s="58">
        <f t="shared" ca="1" si="280"/>
        <v>0.12958029468047549</v>
      </c>
      <c r="AA498" s="58">
        <f t="shared" ca="1" si="280"/>
        <v>0.14990189589161595</v>
      </c>
      <c r="AB498" s="58">
        <f t="shared" ca="1" si="280"/>
        <v>0.17396712847028883</v>
      </c>
      <c r="AC498" s="58">
        <f t="shared" ca="1" si="280"/>
        <v>0.20544209285963388</v>
      </c>
      <c r="AD498" s="26"/>
      <c r="AE498" s="26"/>
    </row>
    <row r="499" spans="1:31" x14ac:dyDescent="0.2">
      <c r="A499" s="2" t="s">
        <v>780</v>
      </c>
      <c r="B499" s="4" t="str">
        <f>$B$73</f>
        <v>Projected Years only</v>
      </c>
      <c r="F499" s="23"/>
      <c r="G499" s="23"/>
      <c r="H499" s="23"/>
      <c r="I499" s="23"/>
      <c r="J499" s="23"/>
      <c r="K499" s="23"/>
      <c r="L499" s="23"/>
      <c r="M499" s="25"/>
      <c r="N499" s="25"/>
      <c r="O499" s="25"/>
      <c r="P499" s="25"/>
      <c r="Q499" s="25"/>
      <c r="R499" s="63"/>
      <c r="T499" s="11">
        <f t="shared" ref="T499:AC499" ca="1" si="281">SUM(T$486,T$491,T$498)</f>
        <v>8.4047607809923299</v>
      </c>
      <c r="U499" s="11">
        <f t="shared" ca="1" si="281"/>
        <v>9.86380111336873</v>
      </c>
      <c r="V499" s="11">
        <f t="shared" ca="1" si="281"/>
        <v>11.364080296753681</v>
      </c>
      <c r="W499" s="11">
        <f t="shared" ca="1" si="281"/>
        <v>12.866210599090699</v>
      </c>
      <c r="X499" s="11">
        <f t="shared" ca="1" si="281"/>
        <v>14.314650029462303</v>
      </c>
      <c r="Y499" s="11">
        <f t="shared" ca="1" si="281"/>
        <v>15.888744275924131</v>
      </c>
      <c r="Z499" s="11">
        <f t="shared" ca="1" si="281"/>
        <v>17.549627706199395</v>
      </c>
      <c r="AA499" s="11">
        <f t="shared" ca="1" si="281"/>
        <v>19.47251854880362</v>
      </c>
      <c r="AB499" s="11">
        <f t="shared" ca="1" si="281"/>
        <v>21.544321383917456</v>
      </c>
      <c r="AC499" s="11">
        <f t="shared" ca="1" si="281"/>
        <v>23.823276183939765</v>
      </c>
      <c r="AD499" s="26"/>
      <c r="AE499" s="26"/>
    </row>
    <row r="500" spans="1:31" x14ac:dyDescent="0.2">
      <c r="A500" s="2" t="s">
        <v>801</v>
      </c>
      <c r="B500" s="4"/>
      <c r="F500" s="23"/>
      <c r="G500" s="23"/>
      <c r="H500" s="23"/>
      <c r="I500" s="23"/>
      <c r="J500" s="23"/>
      <c r="K500" s="23"/>
      <c r="L500" s="23"/>
      <c r="M500" s="25"/>
      <c r="N500" s="25"/>
      <c r="O500" s="25"/>
      <c r="P500" s="25"/>
      <c r="Q500" s="25"/>
      <c r="R500" s="63"/>
      <c r="T500" s="7" t="str">
        <f t="shared" ref="T500:AC500" ca="1" si="282">IF(ROUND(T$57-T$499,3)=0,"OK","ERROR")</f>
        <v>OK</v>
      </c>
      <c r="U500" s="7" t="str">
        <f t="shared" ca="1" si="282"/>
        <v>OK</v>
      </c>
      <c r="V500" s="7" t="str">
        <f t="shared" ca="1" si="282"/>
        <v>OK</v>
      </c>
      <c r="W500" s="7" t="str">
        <f t="shared" ca="1" si="282"/>
        <v>OK</v>
      </c>
      <c r="X500" s="7" t="str">
        <f t="shared" ca="1" si="282"/>
        <v>OK</v>
      </c>
      <c r="Y500" s="7" t="str">
        <f t="shared" ca="1" si="282"/>
        <v>OK</v>
      </c>
      <c r="Z500" s="7" t="str">
        <f t="shared" ca="1" si="282"/>
        <v>OK</v>
      </c>
      <c r="AA500" s="7" t="str">
        <f t="shared" ca="1" si="282"/>
        <v>OK</v>
      </c>
      <c r="AB500" s="7" t="str">
        <f t="shared" ca="1" si="282"/>
        <v>OK</v>
      </c>
      <c r="AC500" s="7" t="str">
        <f t="shared" ca="1" si="282"/>
        <v>OK</v>
      </c>
      <c r="AD500" s="26"/>
    </row>
    <row r="501" spans="1:31" x14ac:dyDescent="0.2">
      <c r="R501" s="63"/>
    </row>
    <row r="502" spans="1:31" x14ac:dyDescent="0.2">
      <c r="R502" s="63"/>
    </row>
    <row r="503" spans="1:31" x14ac:dyDescent="0.2">
      <c r="R503" s="63"/>
    </row>
    <row r="504" spans="1:31" x14ac:dyDescent="0.2">
      <c r="R504" s="63"/>
    </row>
    <row r="505" spans="1:31" x14ac:dyDescent="0.2">
      <c r="R505" s="63"/>
    </row>
    <row r="506" spans="1:31" x14ac:dyDescent="0.2">
      <c r="R506" s="63"/>
    </row>
    <row r="507" spans="1:31" x14ac:dyDescent="0.2">
      <c r="R507" s="63"/>
    </row>
    <row r="508" spans="1:31" x14ac:dyDescent="0.2">
      <c r="R508" s="63"/>
    </row>
    <row r="509" spans="1:31" x14ac:dyDescent="0.2">
      <c r="R509" s="63"/>
    </row>
    <row r="510" spans="1:31" x14ac:dyDescent="0.2">
      <c r="R510" s="63"/>
    </row>
    <row r="511" spans="1:31" x14ac:dyDescent="0.2">
      <c r="R511" s="63"/>
    </row>
    <row r="512" spans="1:31" x14ac:dyDescent="0.2">
      <c r="R512" s="63"/>
    </row>
    <row r="513" spans="18:18" x14ac:dyDescent="0.2">
      <c r="R513" s="63"/>
    </row>
    <row r="514" spans="18:18" x14ac:dyDescent="0.2">
      <c r="R514" s="63"/>
    </row>
    <row r="515" spans="18:18" x14ac:dyDescent="0.2">
      <c r="R515" s="63"/>
    </row>
    <row r="516" spans="18:18" x14ac:dyDescent="0.2">
      <c r="R516" s="63"/>
    </row>
  </sheetData>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Drop Down 1">
              <controlPr defaultSize="0" autoLine="0" autoPict="0">
                <anchor moveWithCells="1">
                  <from>
                    <xdr:col>0</xdr:col>
                    <xdr:colOff>38100</xdr:colOff>
                    <xdr:row>4</xdr:row>
                    <xdr:rowOff>0</xdr:rowOff>
                  </from>
                  <to>
                    <xdr:col>1</xdr:col>
                    <xdr:colOff>0</xdr:colOff>
                    <xdr:row>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0"/>
  <sheetViews>
    <sheetView workbookViewId="0">
      <pane xSplit="2" ySplit="3" topLeftCell="C4" activePane="bottomRight" state="frozen"/>
      <selection pane="topRight" activeCell="C1" sqref="C1"/>
      <selection pane="bottomLeft" activeCell="A4" sqref="A4"/>
      <selection pane="bottomRight" activeCell="Q13" sqref="Q13"/>
    </sheetView>
  </sheetViews>
  <sheetFormatPr defaultColWidth="8.7109375" defaultRowHeight="12.75" x14ac:dyDescent="0.2"/>
  <cols>
    <col min="1" max="2" width="8.7109375" style="3"/>
    <col min="3" max="3" width="5.5703125" style="3" customWidth="1"/>
    <col min="4" max="7" width="8.7109375" style="3"/>
    <col min="8" max="8" width="5.5703125" style="3" customWidth="1"/>
    <col min="9" max="12" width="8.7109375" style="3"/>
    <col min="13" max="13" width="5.5703125" style="3" customWidth="1"/>
    <col min="14" max="16384" width="8.7109375" style="3"/>
  </cols>
  <sheetData>
    <row r="1" spans="1:14" ht="15.75" x14ac:dyDescent="0.25">
      <c r="A1" s="1" t="s">
        <v>1117</v>
      </c>
    </row>
    <row r="2" spans="1:14" x14ac:dyDescent="0.2">
      <c r="A2" s="4"/>
    </row>
    <row r="3" spans="1:14" x14ac:dyDescent="0.2">
      <c r="A3" s="5" t="s">
        <v>922</v>
      </c>
      <c r="D3" s="5" t="s">
        <v>923</v>
      </c>
      <c r="I3" s="5" t="s">
        <v>924</v>
      </c>
      <c r="N3" s="5" t="s">
        <v>925</v>
      </c>
    </row>
    <row r="4" spans="1:14" x14ac:dyDescent="0.2">
      <c r="A4" s="5"/>
    </row>
    <row r="5" spans="1:14" x14ac:dyDescent="0.2">
      <c r="A5" s="4" t="s">
        <v>926</v>
      </c>
      <c r="D5" s="3" t="s">
        <v>927</v>
      </c>
      <c r="I5" s="3" t="s">
        <v>928</v>
      </c>
      <c r="N5" s="3" t="s">
        <v>929</v>
      </c>
    </row>
    <row r="6" spans="1:14" x14ac:dyDescent="0.2">
      <c r="D6" s="3" t="s">
        <v>930</v>
      </c>
      <c r="I6" s="3" t="s">
        <v>931</v>
      </c>
    </row>
    <row r="7" spans="1:14" x14ac:dyDescent="0.2">
      <c r="D7" s="3" t="s">
        <v>932</v>
      </c>
      <c r="I7" s="3" t="s">
        <v>933</v>
      </c>
    </row>
    <row r="8" spans="1:14" x14ac:dyDescent="0.2">
      <c r="D8" s="3" t="s">
        <v>934</v>
      </c>
      <c r="I8" s="3" t="s">
        <v>935</v>
      </c>
    </row>
    <row r="9" spans="1:14" x14ac:dyDescent="0.2">
      <c r="I9" s="3" t="s">
        <v>936</v>
      </c>
    </row>
    <row r="10" spans="1:14" x14ac:dyDescent="0.2">
      <c r="I10" s="3" t="s">
        <v>937</v>
      </c>
    </row>
    <row r="11" spans="1:14" x14ac:dyDescent="0.2">
      <c r="I11" s="3" t="s">
        <v>938</v>
      </c>
    </row>
    <row r="13" spans="1:14" x14ac:dyDescent="0.2">
      <c r="A13" s="4" t="s">
        <v>939</v>
      </c>
      <c r="D13" s="3" t="s">
        <v>940</v>
      </c>
      <c r="I13" s="3" t="s">
        <v>941</v>
      </c>
      <c r="N13" s="3" t="s">
        <v>929</v>
      </c>
    </row>
    <row r="14" spans="1:14" x14ac:dyDescent="0.2">
      <c r="D14" s="3" t="s">
        <v>942</v>
      </c>
      <c r="I14" s="3" t="s">
        <v>943</v>
      </c>
    </row>
    <row r="15" spans="1:14" x14ac:dyDescent="0.2">
      <c r="D15" s="3" t="s">
        <v>944</v>
      </c>
    </row>
    <row r="17" spans="1:14" x14ac:dyDescent="0.2">
      <c r="A17" s="4" t="s">
        <v>945</v>
      </c>
      <c r="D17" s="3" t="s">
        <v>946</v>
      </c>
      <c r="I17" s="3" t="s">
        <v>941</v>
      </c>
      <c r="N17" s="3" t="s">
        <v>929</v>
      </c>
    </row>
    <row r="18" spans="1:14" x14ac:dyDescent="0.2">
      <c r="D18" s="3" t="s">
        <v>947</v>
      </c>
      <c r="I18" s="3" t="s">
        <v>943</v>
      </c>
    </row>
    <row r="19" spans="1:14" x14ac:dyDescent="0.2">
      <c r="D19" s="3" t="s">
        <v>948</v>
      </c>
    </row>
    <row r="20" spans="1:14" x14ac:dyDescent="0.2">
      <c r="D20" s="3" t="s">
        <v>949</v>
      </c>
    </row>
    <row r="22" spans="1:14" x14ac:dyDescent="0.2">
      <c r="A22" s="4" t="s">
        <v>950</v>
      </c>
      <c r="D22" s="3" t="s">
        <v>951</v>
      </c>
      <c r="I22" s="3" t="s">
        <v>952</v>
      </c>
      <c r="N22" s="3" t="s">
        <v>929</v>
      </c>
    </row>
    <row r="23" spans="1:14" x14ac:dyDescent="0.2">
      <c r="D23" s="3" t="s">
        <v>953</v>
      </c>
      <c r="I23" s="3" t="s">
        <v>954</v>
      </c>
    </row>
    <row r="24" spans="1:14" x14ac:dyDescent="0.2">
      <c r="D24" s="3" t="s">
        <v>955</v>
      </c>
      <c r="I24" s="3" t="s">
        <v>956</v>
      </c>
    </row>
    <row r="25" spans="1:14" x14ac:dyDescent="0.2">
      <c r="D25" s="3" t="s">
        <v>957</v>
      </c>
      <c r="I25" s="3" t="s">
        <v>958</v>
      </c>
    </row>
    <row r="26" spans="1:14" x14ac:dyDescent="0.2">
      <c r="D26" s="3" t="s">
        <v>959</v>
      </c>
      <c r="I26" s="3" t="s">
        <v>960</v>
      </c>
    </row>
    <row r="27" spans="1:14" x14ac:dyDescent="0.2">
      <c r="D27" s="3" t="s">
        <v>961</v>
      </c>
      <c r="I27" s="3" t="s">
        <v>962</v>
      </c>
    </row>
    <row r="28" spans="1:14" x14ac:dyDescent="0.2">
      <c r="D28" s="3" t="s">
        <v>963</v>
      </c>
      <c r="I28" s="3" t="s">
        <v>1150</v>
      </c>
    </row>
    <row r="29" spans="1:14" x14ac:dyDescent="0.2">
      <c r="D29" s="3" t="s">
        <v>964</v>
      </c>
      <c r="I29" s="3" t="s">
        <v>965</v>
      </c>
    </row>
    <row r="31" spans="1:14" x14ac:dyDescent="0.2">
      <c r="A31" s="4" t="s">
        <v>966</v>
      </c>
      <c r="D31" s="3" t="s">
        <v>967</v>
      </c>
      <c r="I31" s="3" t="s">
        <v>968</v>
      </c>
      <c r="N31" s="3" t="s">
        <v>969</v>
      </c>
    </row>
    <row r="32" spans="1:14" x14ac:dyDescent="0.2">
      <c r="D32" s="3" t="s">
        <v>970</v>
      </c>
      <c r="I32" s="3" t="s">
        <v>971</v>
      </c>
      <c r="N32" s="3" t="s">
        <v>1152</v>
      </c>
    </row>
    <row r="33" spans="1:14" x14ac:dyDescent="0.2">
      <c r="D33" s="3" t="s">
        <v>972</v>
      </c>
      <c r="I33" s="3" t="s">
        <v>1153</v>
      </c>
      <c r="N33" s="3" t="s">
        <v>1151</v>
      </c>
    </row>
    <row r="34" spans="1:14" x14ac:dyDescent="0.2">
      <c r="D34" s="3" t="s">
        <v>973</v>
      </c>
      <c r="I34" s="3" t="s">
        <v>997</v>
      </c>
    </row>
    <row r="35" spans="1:14" x14ac:dyDescent="0.2">
      <c r="D35" s="3" t="s">
        <v>974</v>
      </c>
      <c r="I35" s="3" t="s">
        <v>1154</v>
      </c>
    </row>
    <row r="36" spans="1:14" x14ac:dyDescent="0.2">
      <c r="D36" s="3" t="s">
        <v>975</v>
      </c>
      <c r="I36" s="3" t="s">
        <v>1156</v>
      </c>
      <c r="N36" s="4"/>
    </row>
    <row r="37" spans="1:14" x14ac:dyDescent="0.2">
      <c r="D37" s="3" t="s">
        <v>976</v>
      </c>
      <c r="I37" s="3" t="s">
        <v>1155</v>
      </c>
    </row>
    <row r="38" spans="1:14" x14ac:dyDescent="0.2">
      <c r="D38" s="3" t="s">
        <v>977</v>
      </c>
    </row>
    <row r="40" spans="1:14" x14ac:dyDescent="0.2">
      <c r="A40" s="4" t="s">
        <v>978</v>
      </c>
      <c r="D40" s="3" t="s">
        <v>979</v>
      </c>
      <c r="I40" s="3" t="s">
        <v>980</v>
      </c>
      <c r="N40" s="3" t="s">
        <v>929</v>
      </c>
    </row>
    <row r="41" spans="1:14" x14ac:dyDescent="0.2">
      <c r="D41" s="3" t="s">
        <v>981</v>
      </c>
      <c r="I41" s="3" t="s">
        <v>982</v>
      </c>
    </row>
    <row r="42" spans="1:14" x14ac:dyDescent="0.2">
      <c r="D42" s="3" t="s">
        <v>983</v>
      </c>
      <c r="I42" s="3" t="s">
        <v>984</v>
      </c>
    </row>
    <row r="43" spans="1:14" x14ac:dyDescent="0.2">
      <c r="D43" s="3" t="s">
        <v>985</v>
      </c>
      <c r="I43" s="3" t="s">
        <v>986</v>
      </c>
    </row>
    <row r="44" spans="1:14" x14ac:dyDescent="0.2">
      <c r="D44" s="3" t="s">
        <v>987</v>
      </c>
      <c r="I44" s="3" t="s">
        <v>988</v>
      </c>
    </row>
    <row r="45" spans="1:14" x14ac:dyDescent="0.2">
      <c r="D45" s="3" t="s">
        <v>989</v>
      </c>
      <c r="I45" s="3" t="s">
        <v>990</v>
      </c>
    </row>
    <row r="46" spans="1:14" x14ac:dyDescent="0.2">
      <c r="D46" s="3" t="s">
        <v>991</v>
      </c>
      <c r="I46" s="3" t="s">
        <v>992</v>
      </c>
    </row>
    <row r="48" spans="1:14" x14ac:dyDescent="0.2">
      <c r="A48" s="4" t="s">
        <v>993</v>
      </c>
      <c r="D48" s="3" t="s">
        <v>994</v>
      </c>
      <c r="I48" s="3" t="s">
        <v>995</v>
      </c>
      <c r="N48" s="3" t="s">
        <v>929</v>
      </c>
    </row>
    <row r="49" spans="1:14" x14ac:dyDescent="0.2">
      <c r="D49" s="3" t="s">
        <v>996</v>
      </c>
      <c r="I49" s="3" t="s">
        <v>997</v>
      </c>
    </row>
    <row r="50" spans="1:14" x14ac:dyDescent="0.2">
      <c r="D50" s="3" t="s">
        <v>998</v>
      </c>
      <c r="I50" s="3" t="s">
        <v>999</v>
      </c>
    </row>
    <row r="51" spans="1:14" x14ac:dyDescent="0.2">
      <c r="D51" s="3" t="s">
        <v>1000</v>
      </c>
      <c r="I51" s="3" t="s">
        <v>1157</v>
      </c>
    </row>
    <row r="52" spans="1:14" x14ac:dyDescent="0.2">
      <c r="D52" s="3" t="s">
        <v>1001</v>
      </c>
      <c r="I52" s="3" t="s">
        <v>1158</v>
      </c>
    </row>
    <row r="53" spans="1:14" x14ac:dyDescent="0.2">
      <c r="D53" s="3" t="s">
        <v>1002</v>
      </c>
    </row>
    <row r="54" spans="1:14" x14ac:dyDescent="0.2">
      <c r="D54" s="3" t="s">
        <v>1003</v>
      </c>
    </row>
    <row r="55" spans="1:14" x14ac:dyDescent="0.2">
      <c r="D55" s="3" t="s">
        <v>1004</v>
      </c>
    </row>
    <row r="56" spans="1:14" x14ac:dyDescent="0.2">
      <c r="D56" s="3" t="s">
        <v>1005</v>
      </c>
    </row>
    <row r="57" spans="1:14" x14ac:dyDescent="0.2">
      <c r="D57" s="3" t="s">
        <v>1006</v>
      </c>
    </row>
    <row r="58" spans="1:14" x14ac:dyDescent="0.2">
      <c r="D58" s="3" t="s">
        <v>1007</v>
      </c>
    </row>
    <row r="60" spans="1:14" x14ac:dyDescent="0.2">
      <c r="A60" s="4" t="s">
        <v>1008</v>
      </c>
      <c r="D60" s="3" t="s">
        <v>1009</v>
      </c>
      <c r="I60" s="3" t="s">
        <v>1010</v>
      </c>
      <c r="N60" s="3" t="s">
        <v>929</v>
      </c>
    </row>
    <row r="61" spans="1:14" x14ac:dyDescent="0.2">
      <c r="D61" s="3" t="s">
        <v>1011</v>
      </c>
      <c r="I61" s="3" t="s">
        <v>1012</v>
      </c>
    </row>
    <row r="62" spans="1:14" x14ac:dyDescent="0.2">
      <c r="D62" s="3" t="s">
        <v>1013</v>
      </c>
      <c r="I62" s="3" t="s">
        <v>1014</v>
      </c>
    </row>
    <row r="63" spans="1:14" x14ac:dyDescent="0.2">
      <c r="D63" s="3" t="s">
        <v>1015</v>
      </c>
      <c r="I63" s="3" t="s">
        <v>1016</v>
      </c>
    </row>
    <row r="64" spans="1:14" x14ac:dyDescent="0.2">
      <c r="D64" s="3" t="s">
        <v>1017</v>
      </c>
      <c r="I64" s="3" t="s">
        <v>1018</v>
      </c>
    </row>
    <row r="65" spans="1:14" x14ac:dyDescent="0.2">
      <c r="D65" s="3" t="s">
        <v>1019</v>
      </c>
      <c r="I65" s="3" t="s">
        <v>1020</v>
      </c>
    </row>
    <row r="66" spans="1:14" x14ac:dyDescent="0.2">
      <c r="D66" s="3" t="s">
        <v>1021</v>
      </c>
    </row>
    <row r="67" spans="1:14" x14ac:dyDescent="0.2">
      <c r="D67" s="3" t="s">
        <v>1022</v>
      </c>
    </row>
    <row r="69" spans="1:14" x14ac:dyDescent="0.2">
      <c r="A69" s="4" t="s">
        <v>1023</v>
      </c>
      <c r="D69" s="3" t="s">
        <v>1024</v>
      </c>
      <c r="I69" s="3" t="s">
        <v>1025</v>
      </c>
      <c r="N69" s="3" t="s">
        <v>1169</v>
      </c>
    </row>
    <row r="70" spans="1:14" x14ac:dyDescent="0.2">
      <c r="D70" s="3" t="s">
        <v>1026</v>
      </c>
      <c r="I70" s="3" t="s">
        <v>1027</v>
      </c>
      <c r="N70" s="3" t="s">
        <v>1170</v>
      </c>
    </row>
    <row r="71" spans="1:14" x14ac:dyDescent="0.2">
      <c r="D71" s="3" t="s">
        <v>1028</v>
      </c>
      <c r="I71" s="3" t="s">
        <v>1029</v>
      </c>
      <c r="N71" s="3" t="s">
        <v>1171</v>
      </c>
    </row>
    <row r="72" spans="1:14" x14ac:dyDescent="0.2">
      <c r="D72" s="3" t="s">
        <v>1030</v>
      </c>
      <c r="I72" s="3" t="s">
        <v>1031</v>
      </c>
      <c r="N72" s="3" t="s">
        <v>1173</v>
      </c>
    </row>
    <row r="73" spans="1:14" ht="15" x14ac:dyDescent="0.25">
      <c r="D73" s="6" t="s">
        <v>1032</v>
      </c>
      <c r="I73" s="3" t="s">
        <v>1033</v>
      </c>
      <c r="N73" s="3" t="s">
        <v>1172</v>
      </c>
    </row>
    <row r="74" spans="1:14" x14ac:dyDescent="0.2">
      <c r="D74" s="3" t="s">
        <v>1034</v>
      </c>
      <c r="I74" s="3" t="s">
        <v>1035</v>
      </c>
      <c r="N74" s="3" t="s">
        <v>1043</v>
      </c>
    </row>
    <row r="75" spans="1:14" x14ac:dyDescent="0.2">
      <c r="D75" s="3" t="s">
        <v>1036</v>
      </c>
      <c r="I75" s="3" t="s">
        <v>1037</v>
      </c>
      <c r="N75" s="3" t="s">
        <v>1046</v>
      </c>
    </row>
    <row r="76" spans="1:14" x14ac:dyDescent="0.2">
      <c r="D76" s="3" t="s">
        <v>1038</v>
      </c>
      <c r="I76" s="3" t="s">
        <v>1039</v>
      </c>
      <c r="N76" s="4" t="s">
        <v>1049</v>
      </c>
    </row>
    <row r="77" spans="1:14" x14ac:dyDescent="0.2">
      <c r="I77" s="3" t="s">
        <v>1040</v>
      </c>
      <c r="N77" s="3" t="s">
        <v>1177</v>
      </c>
    </row>
    <row r="78" spans="1:14" x14ac:dyDescent="0.2">
      <c r="N78" s="3" t="s">
        <v>1175</v>
      </c>
    </row>
    <row r="79" spans="1:14" x14ac:dyDescent="0.2">
      <c r="N79" s="3" t="s">
        <v>1176</v>
      </c>
    </row>
    <row r="81" spans="1:14" x14ac:dyDescent="0.2">
      <c r="A81" s="4" t="s">
        <v>1041</v>
      </c>
      <c r="D81" s="3" t="s">
        <v>1042</v>
      </c>
      <c r="I81" s="3" t="s">
        <v>1025</v>
      </c>
      <c r="N81" s="3" t="s">
        <v>1043</v>
      </c>
    </row>
    <row r="82" spans="1:14" x14ac:dyDescent="0.2">
      <c r="D82" s="3" t="s">
        <v>1044</v>
      </c>
      <c r="I82" s="3" t="s">
        <v>1045</v>
      </c>
      <c r="N82" s="3" t="s">
        <v>1046</v>
      </c>
    </row>
    <row r="83" spans="1:14" x14ac:dyDescent="0.2">
      <c r="D83" s="3" t="s">
        <v>1047</v>
      </c>
      <c r="I83" s="3" t="s">
        <v>1048</v>
      </c>
      <c r="N83" s="4" t="s">
        <v>1049</v>
      </c>
    </row>
    <row r="84" spans="1:14" x14ac:dyDescent="0.2">
      <c r="D84" s="3" t="s">
        <v>1050</v>
      </c>
      <c r="I84" s="3" t="s">
        <v>1031</v>
      </c>
      <c r="N84" s="3" t="s">
        <v>1051</v>
      </c>
    </row>
    <row r="85" spans="1:14" x14ac:dyDescent="0.2">
      <c r="D85" s="3" t="s">
        <v>1052</v>
      </c>
      <c r="I85" s="3" t="s">
        <v>1053</v>
      </c>
      <c r="N85" s="3" t="s">
        <v>1054</v>
      </c>
    </row>
    <row r="86" spans="1:14" x14ac:dyDescent="0.2">
      <c r="D86" s="3" t="s">
        <v>1055</v>
      </c>
      <c r="I86" s="3" t="s">
        <v>1056</v>
      </c>
      <c r="N86" s="3" t="s">
        <v>1057</v>
      </c>
    </row>
    <row r="87" spans="1:14" x14ac:dyDescent="0.2">
      <c r="D87" s="3" t="s">
        <v>1058</v>
      </c>
      <c r="I87" s="3" t="s">
        <v>1059</v>
      </c>
    </row>
    <row r="88" spans="1:14" x14ac:dyDescent="0.2">
      <c r="D88" s="3" t="s">
        <v>1060</v>
      </c>
      <c r="I88" s="3" t="s">
        <v>1061</v>
      </c>
    </row>
    <row r="89" spans="1:14" x14ac:dyDescent="0.2">
      <c r="D89" s="2" t="s">
        <v>1062</v>
      </c>
      <c r="I89" s="4" t="s">
        <v>1063</v>
      </c>
    </row>
    <row r="90" spans="1:14" x14ac:dyDescent="0.2">
      <c r="D90" s="2" t="s">
        <v>1064</v>
      </c>
      <c r="I90" s="3" t="s">
        <v>1065</v>
      </c>
    </row>
    <row r="92" spans="1:14" x14ac:dyDescent="0.2">
      <c r="A92" s="4" t="s">
        <v>1066</v>
      </c>
      <c r="D92" s="3" t="s">
        <v>1067</v>
      </c>
      <c r="I92" s="3" t="s">
        <v>1068</v>
      </c>
      <c r="N92" s="3" t="s">
        <v>929</v>
      </c>
    </row>
    <row r="93" spans="1:14" x14ac:dyDescent="0.2">
      <c r="D93" s="3" t="s">
        <v>1069</v>
      </c>
      <c r="I93" s="3" t="s">
        <v>1070</v>
      </c>
    </row>
    <row r="94" spans="1:14" x14ac:dyDescent="0.2">
      <c r="D94" s="3" t="s">
        <v>1071</v>
      </c>
      <c r="I94" s="3" t="s">
        <v>1072</v>
      </c>
    </row>
    <row r="95" spans="1:14" x14ac:dyDescent="0.2">
      <c r="D95" s="3" t="s">
        <v>1073</v>
      </c>
      <c r="I95" s="3" t="s">
        <v>1074</v>
      </c>
    </row>
    <row r="96" spans="1:14" x14ac:dyDescent="0.2">
      <c r="D96" s="3" t="s">
        <v>1075</v>
      </c>
      <c r="I96" s="3" t="s">
        <v>1076</v>
      </c>
    </row>
    <row r="97" spans="1:14" x14ac:dyDescent="0.2">
      <c r="D97" s="3" t="s">
        <v>1077</v>
      </c>
      <c r="I97" s="3" t="s">
        <v>1078</v>
      </c>
    </row>
    <row r="98" spans="1:14" x14ac:dyDescent="0.2">
      <c r="D98" s="3" t="s">
        <v>1079</v>
      </c>
      <c r="I98" s="3" t="s">
        <v>1080</v>
      </c>
    </row>
    <row r="99" spans="1:14" x14ac:dyDescent="0.2">
      <c r="D99" s="3" t="s">
        <v>1081</v>
      </c>
      <c r="I99" s="3" t="s">
        <v>1082</v>
      </c>
    </row>
    <row r="100" spans="1:14" x14ac:dyDescent="0.2">
      <c r="D100" s="3" t="s">
        <v>1083</v>
      </c>
      <c r="I100" s="3" t="s">
        <v>1084</v>
      </c>
    </row>
    <row r="101" spans="1:14" x14ac:dyDescent="0.2">
      <c r="D101" s="3" t="s">
        <v>1085</v>
      </c>
      <c r="I101" s="3" t="s">
        <v>1086</v>
      </c>
    </row>
    <row r="102" spans="1:14" x14ac:dyDescent="0.2">
      <c r="D102" s="3" t="s">
        <v>1087</v>
      </c>
      <c r="I102" s="3" t="s">
        <v>1088</v>
      </c>
    </row>
    <row r="103" spans="1:14" x14ac:dyDescent="0.2">
      <c r="D103" s="3" t="s">
        <v>1089</v>
      </c>
      <c r="I103" s="3" t="s">
        <v>1090</v>
      </c>
    </row>
    <row r="104" spans="1:14" x14ac:dyDescent="0.2">
      <c r="D104" s="3" t="s">
        <v>1091</v>
      </c>
      <c r="I104" s="3" t="s">
        <v>1092</v>
      </c>
    </row>
    <row r="105" spans="1:14" x14ac:dyDescent="0.2">
      <c r="D105" s="3" t="s">
        <v>1093</v>
      </c>
      <c r="I105" s="3" t="s">
        <v>1094</v>
      </c>
    </row>
    <row r="106" spans="1:14" x14ac:dyDescent="0.2">
      <c r="D106" s="3" t="s">
        <v>1095</v>
      </c>
      <c r="I106" s="3" t="s">
        <v>1096</v>
      </c>
    </row>
    <row r="107" spans="1:14" x14ac:dyDescent="0.2">
      <c r="D107" s="4" t="s">
        <v>1097</v>
      </c>
      <c r="I107" s="3" t="s">
        <v>1098</v>
      </c>
    </row>
    <row r="109" spans="1:14" x14ac:dyDescent="0.2">
      <c r="A109" s="3" t="s">
        <v>1099</v>
      </c>
      <c r="D109" s="3" t="s">
        <v>1100</v>
      </c>
      <c r="I109" s="3" t="s">
        <v>929</v>
      </c>
      <c r="N109" s="4" t="s">
        <v>926</v>
      </c>
    </row>
    <row r="110" spans="1:14" x14ac:dyDescent="0.2">
      <c r="A110" s="3" t="s">
        <v>1101</v>
      </c>
      <c r="D110" s="3" t="s">
        <v>1102</v>
      </c>
      <c r="N110" s="4" t="s">
        <v>950</v>
      </c>
    </row>
    <row r="111" spans="1:14" x14ac:dyDescent="0.2">
      <c r="A111" s="3" t="s">
        <v>1103</v>
      </c>
      <c r="D111" s="3" t="s">
        <v>1104</v>
      </c>
      <c r="N111" s="4" t="s">
        <v>966</v>
      </c>
    </row>
    <row r="112" spans="1:14" x14ac:dyDescent="0.2">
      <c r="A112" s="3" t="s">
        <v>1105</v>
      </c>
      <c r="D112" s="3" t="s">
        <v>1106</v>
      </c>
      <c r="N112" s="4" t="s">
        <v>978</v>
      </c>
    </row>
    <row r="113" spans="1:14" x14ac:dyDescent="0.2">
      <c r="A113" s="3" t="s">
        <v>1107</v>
      </c>
      <c r="N113" s="4" t="s">
        <v>993</v>
      </c>
    </row>
    <row r="114" spans="1:14" x14ac:dyDescent="0.2">
      <c r="A114" s="3" t="s">
        <v>1108</v>
      </c>
      <c r="N114" s="4" t="s">
        <v>1008</v>
      </c>
    </row>
    <row r="115" spans="1:14" x14ac:dyDescent="0.2">
      <c r="A115" s="3" t="s">
        <v>1109</v>
      </c>
      <c r="N115" s="3" t="s">
        <v>1110</v>
      </c>
    </row>
    <row r="116" spans="1:14" x14ac:dyDescent="0.2">
      <c r="A116" s="3" t="s">
        <v>1111</v>
      </c>
      <c r="N116" s="3" t="s">
        <v>1112</v>
      </c>
    </row>
    <row r="117" spans="1:14" x14ac:dyDescent="0.2">
      <c r="A117" s="3" t="s">
        <v>1113</v>
      </c>
      <c r="N117" s="4" t="s">
        <v>1066</v>
      </c>
    </row>
    <row r="118" spans="1:14" x14ac:dyDescent="0.2">
      <c r="A118" s="3" t="s">
        <v>1114</v>
      </c>
    </row>
    <row r="119" spans="1:14" x14ac:dyDescent="0.2">
      <c r="A119" s="3" t="s">
        <v>1115</v>
      </c>
    </row>
    <row r="120" spans="1:14" x14ac:dyDescent="0.2">
      <c r="A120" s="3" t="s">
        <v>1116</v>
      </c>
    </row>
  </sheetData>
  <hyperlinks>
    <hyperlink ref="D73" r:id="rId1"/>
  </hyperlinks>
  <pageMargins left="0.70866141732283472" right="0.70866141732283472" top="0.74803149606299213" bottom="0.74803149606299213" header="0.31496062992125984" footer="0.31496062992125984"/>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52"/>
  <sheetViews>
    <sheetView topLeftCell="A28" workbookViewId="0">
      <selection activeCell="J45" sqref="J45"/>
    </sheetView>
  </sheetViews>
  <sheetFormatPr defaultColWidth="8.7109375" defaultRowHeight="12.75" x14ac:dyDescent="0.2"/>
  <cols>
    <col min="1" max="16384" width="8.7109375" style="3"/>
  </cols>
  <sheetData>
    <row r="1" spans="1:12" ht="15.75" x14ac:dyDescent="0.25">
      <c r="A1" s="1" t="s">
        <v>1178</v>
      </c>
    </row>
    <row r="2" spans="1:12" x14ac:dyDescent="0.2">
      <c r="A2" s="4" t="s">
        <v>19</v>
      </c>
    </row>
    <row r="4" spans="1:12" x14ac:dyDescent="0.2">
      <c r="A4" s="5" t="s">
        <v>0</v>
      </c>
      <c r="E4" s="3" t="s">
        <v>1179</v>
      </c>
    </row>
    <row r="5" spans="1:12" x14ac:dyDescent="0.2">
      <c r="A5" s="5"/>
    </row>
    <row r="6" spans="1:12" x14ac:dyDescent="0.2">
      <c r="A6" s="3" t="s">
        <v>2</v>
      </c>
      <c r="C6" s="3" t="s">
        <v>3</v>
      </c>
      <c r="E6" s="3" t="s">
        <v>5</v>
      </c>
      <c r="J6" s="3" t="s">
        <v>916</v>
      </c>
    </row>
    <row r="7" spans="1:12" x14ac:dyDescent="0.2">
      <c r="C7" s="3" t="s">
        <v>4</v>
      </c>
      <c r="E7" s="3" t="s">
        <v>1</v>
      </c>
      <c r="J7" s="3" t="s">
        <v>1180</v>
      </c>
    </row>
    <row r="9" spans="1:12" x14ac:dyDescent="0.2">
      <c r="A9" s="3" t="s">
        <v>6</v>
      </c>
      <c r="C9" s="3" t="s">
        <v>3</v>
      </c>
      <c r="E9" s="3" t="s">
        <v>7</v>
      </c>
      <c r="J9" s="3" t="s">
        <v>8</v>
      </c>
    </row>
    <row r="10" spans="1:12" x14ac:dyDescent="0.2">
      <c r="C10" s="3" t="s">
        <v>4</v>
      </c>
      <c r="E10" s="3" t="s">
        <v>1</v>
      </c>
      <c r="J10" s="3" t="s">
        <v>1180</v>
      </c>
    </row>
    <row r="12" spans="1:12" ht="15" x14ac:dyDescent="0.25">
      <c r="A12" s="3" t="s">
        <v>9</v>
      </c>
      <c r="C12" s="3" t="s">
        <v>3</v>
      </c>
      <c r="E12" s="3" t="s">
        <v>917</v>
      </c>
      <c r="J12" s="3" t="s">
        <v>35</v>
      </c>
      <c r="K12" s="6" t="s">
        <v>11</v>
      </c>
    </row>
    <row r="13" spans="1:12" ht="15" x14ac:dyDescent="0.25">
      <c r="A13" s="3" t="s">
        <v>13</v>
      </c>
      <c r="C13" s="3" t="s">
        <v>4</v>
      </c>
      <c r="E13" s="3" t="s">
        <v>15</v>
      </c>
      <c r="L13" s="6"/>
    </row>
    <row r="14" spans="1:12" x14ac:dyDescent="0.2">
      <c r="A14" s="3" t="s">
        <v>14</v>
      </c>
      <c r="C14" s="3" t="s">
        <v>10</v>
      </c>
      <c r="E14" s="3" t="s">
        <v>918</v>
      </c>
      <c r="J14" s="3" t="s">
        <v>921</v>
      </c>
    </row>
    <row r="16" spans="1:12" x14ac:dyDescent="0.2">
      <c r="A16" s="3" t="s">
        <v>12</v>
      </c>
      <c r="C16" s="3" t="s">
        <v>3</v>
      </c>
      <c r="E16" s="3" t="s">
        <v>919</v>
      </c>
    </row>
    <row r="17" spans="1:13" x14ac:dyDescent="0.2">
      <c r="A17" s="3" t="s">
        <v>13</v>
      </c>
      <c r="C17" s="3" t="s">
        <v>4</v>
      </c>
      <c r="E17" s="3" t="s">
        <v>16</v>
      </c>
    </row>
    <row r="18" spans="1:13" x14ac:dyDescent="0.2">
      <c r="A18" s="3" t="s">
        <v>14</v>
      </c>
      <c r="C18" s="3" t="s">
        <v>10</v>
      </c>
      <c r="E18" s="3" t="s">
        <v>920</v>
      </c>
      <c r="J18" s="3" t="s">
        <v>1159</v>
      </c>
    </row>
    <row r="19" spans="1:13" x14ac:dyDescent="0.2">
      <c r="J19" s="3" t="s">
        <v>1160</v>
      </c>
    </row>
    <row r="21" spans="1:13" x14ac:dyDescent="0.2">
      <c r="A21" s="3" t="s">
        <v>17</v>
      </c>
      <c r="C21" s="3" t="s">
        <v>3</v>
      </c>
      <c r="E21" s="3" t="s">
        <v>7</v>
      </c>
      <c r="J21" s="3" t="s">
        <v>8</v>
      </c>
    </row>
    <row r="22" spans="1:13" x14ac:dyDescent="0.2">
      <c r="A22" s="3" t="s">
        <v>18</v>
      </c>
      <c r="C22" s="3" t="s">
        <v>4</v>
      </c>
      <c r="E22" s="3" t="s">
        <v>33</v>
      </c>
      <c r="J22" s="3" t="s">
        <v>1180</v>
      </c>
    </row>
    <row r="23" spans="1:13" x14ac:dyDescent="0.2">
      <c r="E23" s="3" t="s">
        <v>34</v>
      </c>
    </row>
    <row r="25" spans="1:13" x14ac:dyDescent="0.2">
      <c r="A25" s="3" t="s">
        <v>20</v>
      </c>
      <c r="C25" s="3" t="s">
        <v>3</v>
      </c>
      <c r="E25" s="3" t="s">
        <v>7</v>
      </c>
      <c r="J25" s="3" t="s">
        <v>8</v>
      </c>
    </row>
    <row r="26" spans="1:13" x14ac:dyDescent="0.2">
      <c r="A26" s="3" t="s">
        <v>21</v>
      </c>
      <c r="C26" s="3" t="s">
        <v>4</v>
      </c>
      <c r="E26" s="3" t="s">
        <v>29</v>
      </c>
      <c r="J26" s="3" t="s">
        <v>1180</v>
      </c>
    </row>
    <row r="27" spans="1:13" ht="15" x14ac:dyDescent="0.25">
      <c r="A27" s="3" t="s">
        <v>28</v>
      </c>
      <c r="C27" s="3" t="s">
        <v>10</v>
      </c>
      <c r="E27" s="3" t="s">
        <v>22</v>
      </c>
      <c r="J27" s="3" t="s">
        <v>35</v>
      </c>
      <c r="K27" s="6" t="s">
        <v>23</v>
      </c>
      <c r="M27" s="3" t="s">
        <v>1180</v>
      </c>
    </row>
    <row r="29" spans="1:13" x14ac:dyDescent="0.2">
      <c r="A29" s="3" t="s">
        <v>24</v>
      </c>
      <c r="C29" s="3" t="s">
        <v>3</v>
      </c>
      <c r="E29" s="3" t="s">
        <v>7</v>
      </c>
      <c r="J29" s="3" t="s">
        <v>8</v>
      </c>
    </row>
    <row r="30" spans="1:13" x14ac:dyDescent="0.2">
      <c r="A30" s="3" t="s">
        <v>25</v>
      </c>
      <c r="C30" s="3" t="s">
        <v>4</v>
      </c>
      <c r="E30" s="3" t="s">
        <v>27</v>
      </c>
      <c r="J30" s="3" t="s">
        <v>1180</v>
      </c>
    </row>
    <row r="31" spans="1:13" x14ac:dyDescent="0.2">
      <c r="A31" s="3" t="s">
        <v>26</v>
      </c>
      <c r="C31" s="3" t="s">
        <v>10</v>
      </c>
      <c r="E31" s="3" t="s">
        <v>30</v>
      </c>
      <c r="J31" s="3" t="s">
        <v>1181</v>
      </c>
    </row>
    <row r="33" spans="1:10" x14ac:dyDescent="0.2">
      <c r="A33" s="3" t="s">
        <v>31</v>
      </c>
      <c r="C33" s="3" t="s">
        <v>3</v>
      </c>
      <c r="E33" s="3" t="s">
        <v>7</v>
      </c>
      <c r="J33" s="3" t="s">
        <v>8</v>
      </c>
    </row>
    <row r="34" spans="1:10" x14ac:dyDescent="0.2">
      <c r="A34" s="3" t="s">
        <v>32</v>
      </c>
      <c r="C34" s="3" t="s">
        <v>4</v>
      </c>
      <c r="E34" s="3" t="s">
        <v>900</v>
      </c>
      <c r="J34" s="3" t="s">
        <v>1180</v>
      </c>
    </row>
    <row r="35" spans="1:10" x14ac:dyDescent="0.2">
      <c r="A35" s="3" t="s">
        <v>901</v>
      </c>
      <c r="C35" s="3" t="s">
        <v>10</v>
      </c>
      <c r="E35" s="3" t="s">
        <v>902</v>
      </c>
      <c r="J35" s="3" t="s">
        <v>1182</v>
      </c>
    </row>
    <row r="37" spans="1:10" x14ac:dyDescent="0.2">
      <c r="A37" s="3" t="s">
        <v>37</v>
      </c>
      <c r="C37" s="3" t="s">
        <v>3</v>
      </c>
      <c r="E37" s="3" t="s">
        <v>7</v>
      </c>
      <c r="J37" s="3" t="s">
        <v>8</v>
      </c>
    </row>
    <row r="38" spans="1:10" x14ac:dyDescent="0.2">
      <c r="A38" s="3" t="s">
        <v>36</v>
      </c>
      <c r="C38" s="3" t="s">
        <v>4</v>
      </c>
      <c r="E38" s="3" t="s">
        <v>39</v>
      </c>
      <c r="J38" s="3" t="s">
        <v>1180</v>
      </c>
    </row>
    <row r="39" spans="1:10" x14ac:dyDescent="0.2">
      <c r="A39" s="3" t="s">
        <v>38</v>
      </c>
      <c r="C39" s="3" t="s">
        <v>10</v>
      </c>
      <c r="E39" s="3" t="s">
        <v>40</v>
      </c>
      <c r="J39" s="3" t="s">
        <v>1180</v>
      </c>
    </row>
    <row r="41" spans="1:10" x14ac:dyDescent="0.2">
      <c r="A41" s="3" t="s">
        <v>1118</v>
      </c>
      <c r="C41" s="3" t="s">
        <v>3</v>
      </c>
      <c r="E41" s="3" t="s">
        <v>7</v>
      </c>
      <c r="J41" s="3" t="s">
        <v>8</v>
      </c>
    </row>
    <row r="42" spans="1:10" x14ac:dyDescent="0.2">
      <c r="A42" s="3" t="s">
        <v>21</v>
      </c>
      <c r="C42" s="3" t="s">
        <v>4</v>
      </c>
      <c r="E42" s="3" t="s">
        <v>1120</v>
      </c>
      <c r="J42" s="3" t="s">
        <v>1180</v>
      </c>
    </row>
    <row r="43" spans="1:10" x14ac:dyDescent="0.2">
      <c r="A43" s="3" t="s">
        <v>1119</v>
      </c>
      <c r="C43" s="3" t="s">
        <v>10</v>
      </c>
      <c r="E43" s="3" t="s">
        <v>1121</v>
      </c>
      <c r="J43" s="3" t="s">
        <v>1122</v>
      </c>
    </row>
    <row r="45" spans="1:10" x14ac:dyDescent="0.2">
      <c r="A45" s="3" t="s">
        <v>1125</v>
      </c>
      <c r="C45" s="3" t="s">
        <v>3</v>
      </c>
      <c r="E45" s="3" t="s">
        <v>7</v>
      </c>
      <c r="J45" s="3" t="s">
        <v>8</v>
      </c>
    </row>
    <row r="46" spans="1:10" x14ac:dyDescent="0.2">
      <c r="A46" s="3" t="s">
        <v>1124</v>
      </c>
      <c r="C46" s="3" t="s">
        <v>4</v>
      </c>
      <c r="E46" s="3" t="s">
        <v>1123</v>
      </c>
      <c r="J46" s="3" t="s">
        <v>1180</v>
      </c>
    </row>
    <row r="48" spans="1:10" x14ac:dyDescent="0.2">
      <c r="A48" s="3" t="s">
        <v>1126</v>
      </c>
      <c r="E48" s="3" t="s">
        <v>1128</v>
      </c>
    </row>
    <row r="49" spans="1:7" x14ac:dyDescent="0.2">
      <c r="A49" s="3" t="s">
        <v>1127</v>
      </c>
      <c r="E49" s="3" t="s">
        <v>1129</v>
      </c>
    </row>
    <row r="51" spans="1:7" x14ac:dyDescent="0.2">
      <c r="A51" s="3" t="s">
        <v>1130</v>
      </c>
      <c r="E51" s="3" t="s">
        <v>1132</v>
      </c>
    </row>
    <row r="52" spans="1:7" ht="15" x14ac:dyDescent="0.25">
      <c r="A52" s="3" t="s">
        <v>1131</v>
      </c>
      <c r="E52" s="6" t="s">
        <v>1133</v>
      </c>
      <c r="G52" s="3" t="s">
        <v>1134</v>
      </c>
    </row>
  </sheetData>
  <hyperlinks>
    <hyperlink ref="K12" r:id="rId1"/>
    <hyperlink ref="K27" r:id="rId2"/>
    <hyperlink ref="E52" r:id="rId3"/>
  </hyperlinks>
  <pageMargins left="0.70866141732283472" right="0.70866141732283472" top="0.74803149606299213" bottom="0.74803149606299213" header="0.31496062992125984" footer="0.31496062992125984"/>
  <pageSetup paperSize="9"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O245"/>
  <sheetViews>
    <sheetView topLeftCell="A218" zoomScale="90" zoomScaleNormal="90" workbookViewId="0">
      <selection activeCell="I2" sqref="I2"/>
    </sheetView>
  </sheetViews>
  <sheetFormatPr defaultColWidth="8.7109375" defaultRowHeight="12.75" x14ac:dyDescent="0.2"/>
  <cols>
    <col min="1" max="9" width="8.7109375" style="3"/>
    <col min="10" max="10" width="8.7109375" style="3" customWidth="1"/>
    <col min="11" max="16384" width="8.7109375" style="3"/>
  </cols>
  <sheetData>
    <row r="1" spans="1:67" ht="15.75" x14ac:dyDescent="0.25">
      <c r="A1" s="1" t="s">
        <v>41</v>
      </c>
    </row>
    <row r="2" spans="1:67" ht="15" x14ac:dyDescent="0.25">
      <c r="A2" s="4" t="s">
        <v>1135</v>
      </c>
      <c r="I2" s="6" t="s">
        <v>105</v>
      </c>
      <c r="J2" s="4" t="s">
        <v>106</v>
      </c>
    </row>
    <row r="3" spans="1:67" ht="15" x14ac:dyDescent="0.25">
      <c r="A3" s="4" t="s">
        <v>1138</v>
      </c>
      <c r="I3" s="6" t="s">
        <v>107</v>
      </c>
      <c r="J3" s="4" t="s">
        <v>1139</v>
      </c>
    </row>
    <row r="5" spans="1:67" x14ac:dyDescent="0.2">
      <c r="A5" s="2" t="s">
        <v>100</v>
      </c>
      <c r="E5" s="8" t="s">
        <v>42</v>
      </c>
      <c r="F5" s="8" t="s">
        <v>43</v>
      </c>
      <c r="G5" s="8" t="s">
        <v>44</v>
      </c>
      <c r="H5" s="8" t="s">
        <v>45</v>
      </c>
      <c r="I5" s="8" t="s">
        <v>46</v>
      </c>
      <c r="J5" s="8" t="s">
        <v>47</v>
      </c>
      <c r="K5" s="8" t="s">
        <v>48</v>
      </c>
      <c r="L5" s="8" t="s">
        <v>49</v>
      </c>
      <c r="M5" s="8" t="s">
        <v>50</v>
      </c>
      <c r="N5" s="8" t="s">
        <v>51</v>
      </c>
      <c r="O5" s="8" t="s">
        <v>52</v>
      </c>
      <c r="P5" s="8" t="s">
        <v>53</v>
      </c>
      <c r="Q5" s="8" t="s">
        <v>54</v>
      </c>
      <c r="R5" s="8" t="s">
        <v>55</v>
      </c>
      <c r="S5" s="8" t="s">
        <v>56</v>
      </c>
      <c r="T5" s="8" t="s">
        <v>57</v>
      </c>
      <c r="U5" s="8" t="s">
        <v>58</v>
      </c>
      <c r="V5" s="8" t="s">
        <v>59</v>
      </c>
      <c r="W5" s="8" t="s">
        <v>60</v>
      </c>
      <c r="X5" s="8" t="s">
        <v>61</v>
      </c>
      <c r="Y5" s="8" t="s">
        <v>62</v>
      </c>
      <c r="Z5" s="8" t="s">
        <v>63</v>
      </c>
      <c r="AA5" s="8" t="s">
        <v>64</v>
      </c>
      <c r="AB5" s="8" t="s">
        <v>65</v>
      </c>
      <c r="AC5" s="8" t="s">
        <v>66</v>
      </c>
      <c r="AD5" s="8" t="s">
        <v>67</v>
      </c>
      <c r="AE5" s="8" t="s">
        <v>68</v>
      </c>
      <c r="AF5" s="8" t="s">
        <v>69</v>
      </c>
      <c r="AG5" s="8" t="s">
        <v>97</v>
      </c>
      <c r="AH5" s="8" t="s">
        <v>96</v>
      </c>
      <c r="AI5" s="8" t="s">
        <v>95</v>
      </c>
      <c r="AJ5" s="8" t="s">
        <v>94</v>
      </c>
      <c r="AK5" s="8" t="s">
        <v>93</v>
      </c>
      <c r="AL5" s="8" t="s">
        <v>92</v>
      </c>
      <c r="AM5" s="8" t="s">
        <v>91</v>
      </c>
      <c r="AN5" s="8" t="s">
        <v>90</v>
      </c>
      <c r="AO5" s="8" t="s">
        <v>89</v>
      </c>
      <c r="AP5" s="8" t="s">
        <v>88</v>
      </c>
      <c r="AQ5" s="8" t="s">
        <v>87</v>
      </c>
      <c r="AR5" s="8" t="s">
        <v>86</v>
      </c>
      <c r="AS5" s="8" t="s">
        <v>85</v>
      </c>
      <c r="AT5" s="8" t="s">
        <v>84</v>
      </c>
      <c r="AU5" s="8" t="s">
        <v>83</v>
      </c>
      <c r="AV5" s="8" t="s">
        <v>82</v>
      </c>
      <c r="AW5" s="8" t="s">
        <v>81</v>
      </c>
      <c r="AX5" s="8" t="s">
        <v>80</v>
      </c>
      <c r="AY5" s="8" t="s">
        <v>79</v>
      </c>
      <c r="AZ5" s="8" t="s">
        <v>78</v>
      </c>
      <c r="BA5" s="8" t="s">
        <v>77</v>
      </c>
      <c r="BB5" s="8" t="s">
        <v>76</v>
      </c>
      <c r="BC5" s="8" t="s">
        <v>75</v>
      </c>
      <c r="BD5" s="8" t="s">
        <v>74</v>
      </c>
      <c r="BE5" s="8" t="s">
        <v>73</v>
      </c>
      <c r="BF5" s="8" t="s">
        <v>72</v>
      </c>
      <c r="BG5" s="8" t="s">
        <v>71</v>
      </c>
      <c r="BH5" s="8" t="s">
        <v>70</v>
      </c>
      <c r="BI5" s="8" t="s">
        <v>1140</v>
      </c>
      <c r="BJ5" s="8" t="s">
        <v>1141</v>
      </c>
      <c r="BK5" s="8" t="s">
        <v>1142</v>
      </c>
      <c r="BL5" s="8" t="s">
        <v>1146</v>
      </c>
      <c r="BM5" s="8" t="s">
        <v>1145</v>
      </c>
      <c r="BN5" s="8" t="s">
        <v>1143</v>
      </c>
      <c r="BO5" s="8" t="s">
        <v>1144</v>
      </c>
    </row>
    <row r="6" spans="1:67" x14ac:dyDescent="0.2">
      <c r="E6" s="7">
        <v>2006</v>
      </c>
      <c r="F6" s="7">
        <v>2007</v>
      </c>
      <c r="G6" s="7">
        <v>2008</v>
      </c>
      <c r="H6" s="7">
        <v>2009</v>
      </c>
      <c r="I6" s="7">
        <v>2010</v>
      </c>
      <c r="J6" s="7">
        <v>2011</v>
      </c>
      <c r="K6" s="7">
        <v>2012</v>
      </c>
      <c r="L6" s="7">
        <v>2013</v>
      </c>
      <c r="M6" s="7">
        <v>2014</v>
      </c>
      <c r="N6" s="7">
        <v>2015</v>
      </c>
      <c r="O6" s="7">
        <v>2016</v>
      </c>
      <c r="P6" s="7">
        <v>2017</v>
      </c>
      <c r="Q6" s="7">
        <v>2018</v>
      </c>
      <c r="R6" s="7">
        <v>2019</v>
      </c>
      <c r="S6" s="7">
        <v>2020</v>
      </c>
      <c r="T6" s="7">
        <v>2021</v>
      </c>
      <c r="U6" s="7">
        <v>2022</v>
      </c>
      <c r="V6" s="7">
        <v>2023</v>
      </c>
      <c r="W6" s="7">
        <v>2024</v>
      </c>
      <c r="X6" s="7">
        <v>2025</v>
      </c>
      <c r="Y6" s="7">
        <v>2026</v>
      </c>
      <c r="Z6" s="7">
        <v>2027</v>
      </c>
      <c r="AA6" s="7">
        <v>2028</v>
      </c>
      <c r="AB6" s="7">
        <v>2029</v>
      </c>
      <c r="AC6" s="7">
        <v>2030</v>
      </c>
      <c r="AD6" s="7">
        <v>2031</v>
      </c>
      <c r="AE6" s="7">
        <v>2032</v>
      </c>
      <c r="AF6" s="7">
        <v>2033</v>
      </c>
      <c r="AG6" s="7">
        <v>2034</v>
      </c>
      <c r="AH6" s="7">
        <v>2035</v>
      </c>
      <c r="AI6" s="7">
        <v>2036</v>
      </c>
      <c r="AJ6" s="7">
        <v>2037</v>
      </c>
      <c r="AK6" s="7">
        <v>2038</v>
      </c>
      <c r="AL6" s="7">
        <v>2039</v>
      </c>
      <c r="AM6" s="7">
        <v>2040</v>
      </c>
      <c r="AN6" s="7">
        <v>2041</v>
      </c>
      <c r="AO6" s="7">
        <v>2042</v>
      </c>
      <c r="AP6" s="7">
        <v>2043</v>
      </c>
      <c r="AQ6" s="7">
        <v>2044</v>
      </c>
      <c r="AR6" s="7">
        <v>2045</v>
      </c>
      <c r="AS6" s="7">
        <v>2046</v>
      </c>
      <c r="AT6" s="7">
        <v>2047</v>
      </c>
      <c r="AU6" s="7">
        <v>2048</v>
      </c>
      <c r="AV6" s="7">
        <v>2049</v>
      </c>
      <c r="AW6" s="7">
        <v>2050</v>
      </c>
      <c r="AX6" s="7">
        <v>2051</v>
      </c>
      <c r="AY6" s="7">
        <v>2052</v>
      </c>
      <c r="AZ6" s="7">
        <v>2053</v>
      </c>
      <c r="BA6" s="7">
        <v>2054</v>
      </c>
      <c r="BB6" s="7">
        <v>2055</v>
      </c>
      <c r="BC6" s="7">
        <v>2056</v>
      </c>
      <c r="BD6" s="7">
        <v>2057</v>
      </c>
      <c r="BE6" s="7">
        <v>2058</v>
      </c>
      <c r="BF6" s="7">
        <v>2059</v>
      </c>
      <c r="BG6" s="7">
        <v>2060</v>
      </c>
      <c r="BH6" s="7">
        <v>2061</v>
      </c>
      <c r="BI6" s="7">
        <v>2062</v>
      </c>
      <c r="BJ6" s="7">
        <v>2063</v>
      </c>
      <c r="BK6" s="7">
        <v>2064</v>
      </c>
      <c r="BL6" s="7">
        <v>2065</v>
      </c>
      <c r="BM6" s="7">
        <v>2066</v>
      </c>
      <c r="BN6" s="7">
        <v>2067</v>
      </c>
      <c r="BO6" s="7">
        <v>2068</v>
      </c>
    </row>
    <row r="7" spans="1:67" x14ac:dyDescent="0.2">
      <c r="A7" s="2" t="s">
        <v>102</v>
      </c>
      <c r="E7" s="11">
        <f>SUM(E$10:E$105,E$109:E$204)/1000000</f>
        <v>4.1846300000000003</v>
      </c>
      <c r="F7" s="11">
        <f t="shared" ref="F7:BO7" si="0">SUM(F$10:F$105,F$109:F$204)/1000000</f>
        <v>4.2238600000000002</v>
      </c>
      <c r="G7" s="11">
        <f t="shared" si="0"/>
        <v>4.2597500000000004</v>
      </c>
      <c r="H7" s="11">
        <f t="shared" si="0"/>
        <v>4.3025900000000004</v>
      </c>
      <c r="I7" s="11">
        <f t="shared" si="0"/>
        <v>4.35067</v>
      </c>
      <c r="J7" s="11">
        <f t="shared" si="0"/>
        <v>4.3839699999999997</v>
      </c>
      <c r="K7" s="11">
        <f t="shared" si="0"/>
        <v>4.4079800000000002</v>
      </c>
      <c r="L7" s="11">
        <f t="shared" si="0"/>
        <v>4.4420999999999999</v>
      </c>
      <c r="M7" s="11">
        <f t="shared" si="0"/>
        <v>4.5097800000000001</v>
      </c>
      <c r="N7" s="11">
        <f t="shared" si="0"/>
        <v>4.5924199999999997</v>
      </c>
      <c r="O7" s="11">
        <f t="shared" si="0"/>
        <v>4.6548299999999996</v>
      </c>
      <c r="P7" s="11">
        <f t="shared" si="0"/>
        <v>4.6965899999999996</v>
      </c>
      <c r="Q7" s="11">
        <f t="shared" si="0"/>
        <v>4.7384300000000001</v>
      </c>
      <c r="R7" s="11">
        <f t="shared" si="0"/>
        <v>4.7805200000000001</v>
      </c>
      <c r="S7" s="11">
        <f t="shared" si="0"/>
        <v>4.8225300000000004</v>
      </c>
      <c r="T7" s="11">
        <f t="shared" si="0"/>
        <v>4.8647600000000004</v>
      </c>
      <c r="U7" s="11">
        <f t="shared" si="0"/>
        <v>4.90686</v>
      </c>
      <c r="V7" s="11">
        <f t="shared" si="0"/>
        <v>4.9488899999999996</v>
      </c>
      <c r="W7" s="11">
        <f t="shared" si="0"/>
        <v>4.99057</v>
      </c>
      <c r="X7" s="11">
        <f t="shared" si="0"/>
        <v>5.03193</v>
      </c>
      <c r="Y7" s="11">
        <f t="shared" si="0"/>
        <v>5.0727399999999996</v>
      </c>
      <c r="Z7" s="11">
        <f t="shared" si="0"/>
        <v>5.11313</v>
      </c>
      <c r="AA7" s="11">
        <f t="shared" si="0"/>
        <v>5.1528400000000003</v>
      </c>
      <c r="AB7" s="11">
        <f t="shared" si="0"/>
        <v>5.1918800000000003</v>
      </c>
      <c r="AC7" s="11">
        <f t="shared" si="0"/>
        <v>5.22987</v>
      </c>
      <c r="AD7" s="11">
        <f t="shared" si="0"/>
        <v>5.2670000000000003</v>
      </c>
      <c r="AE7" s="11">
        <f t="shared" si="0"/>
        <v>5.3032000000000004</v>
      </c>
      <c r="AF7" s="11">
        <f t="shared" si="0"/>
        <v>5.3383700000000003</v>
      </c>
      <c r="AG7" s="11">
        <f t="shared" si="0"/>
        <v>5.3723000000000001</v>
      </c>
      <c r="AH7" s="11">
        <f t="shared" si="0"/>
        <v>5.40543</v>
      </c>
      <c r="AI7" s="11">
        <f t="shared" si="0"/>
        <v>5.4375</v>
      </c>
      <c r="AJ7" s="11">
        <f t="shared" si="0"/>
        <v>5.4686700000000004</v>
      </c>
      <c r="AK7" s="11">
        <f t="shared" si="0"/>
        <v>5.4992000000000001</v>
      </c>
      <c r="AL7" s="11">
        <f t="shared" si="0"/>
        <v>5.52867</v>
      </c>
      <c r="AM7" s="11">
        <f t="shared" si="0"/>
        <v>5.5574199999999996</v>
      </c>
      <c r="AN7" s="11">
        <f t="shared" si="0"/>
        <v>5.5853299999999999</v>
      </c>
      <c r="AO7" s="11">
        <f t="shared" si="0"/>
        <v>5.6125699999999998</v>
      </c>
      <c r="AP7" s="11">
        <f t="shared" si="0"/>
        <v>5.6390399999999996</v>
      </c>
      <c r="AQ7" s="11">
        <f t="shared" si="0"/>
        <v>5.6648500000000004</v>
      </c>
      <c r="AR7" s="11">
        <f t="shared" si="0"/>
        <v>5.6900399999999998</v>
      </c>
      <c r="AS7" s="11">
        <f t="shared" si="0"/>
        <v>5.7143800000000002</v>
      </c>
      <c r="AT7" s="11">
        <f t="shared" si="0"/>
        <v>5.7379899999999999</v>
      </c>
      <c r="AU7" s="11">
        <f t="shared" si="0"/>
        <v>5.76112</v>
      </c>
      <c r="AV7" s="11">
        <f t="shared" si="0"/>
        <v>5.7836400000000001</v>
      </c>
      <c r="AW7" s="11">
        <f t="shared" si="0"/>
        <v>5.8054800000000002</v>
      </c>
      <c r="AX7" s="11">
        <f t="shared" si="0"/>
        <v>5.8269700000000002</v>
      </c>
      <c r="AY7" s="11">
        <f t="shared" si="0"/>
        <v>5.8479599999999996</v>
      </c>
      <c r="AZ7" s="11">
        <f t="shared" si="0"/>
        <v>5.8687100000000001</v>
      </c>
      <c r="BA7" s="11">
        <f t="shared" si="0"/>
        <v>5.8891499999999999</v>
      </c>
      <c r="BB7" s="11">
        <f t="shared" si="0"/>
        <v>5.9093799999999996</v>
      </c>
      <c r="BC7" s="11">
        <f t="shared" si="0"/>
        <v>5.9294200000000004</v>
      </c>
      <c r="BD7" s="11">
        <f t="shared" si="0"/>
        <v>5.9495300000000002</v>
      </c>
      <c r="BE7" s="11">
        <f t="shared" si="0"/>
        <v>5.9696100000000003</v>
      </c>
      <c r="BF7" s="11">
        <f t="shared" si="0"/>
        <v>5.9895800000000001</v>
      </c>
      <c r="BG7" s="11">
        <f t="shared" si="0"/>
        <v>6.00969</v>
      </c>
      <c r="BH7" s="11">
        <f t="shared" si="0"/>
        <v>6.0298100000000003</v>
      </c>
      <c r="BI7" s="11">
        <f t="shared" si="0"/>
        <v>6.05002</v>
      </c>
      <c r="BJ7" s="11">
        <f t="shared" si="0"/>
        <v>6.0704399999999996</v>
      </c>
      <c r="BK7" s="11">
        <f t="shared" si="0"/>
        <v>6.0909800000000001</v>
      </c>
      <c r="BL7" s="11">
        <f t="shared" si="0"/>
        <v>6.1116999999999999</v>
      </c>
      <c r="BM7" s="11">
        <f t="shared" si="0"/>
        <v>6.1325799999999999</v>
      </c>
      <c r="BN7" s="11">
        <f t="shared" si="0"/>
        <v>6.1536099999999996</v>
      </c>
      <c r="BO7" s="11">
        <f t="shared" si="0"/>
        <v>6.1746699999999999</v>
      </c>
    </row>
    <row r="8" spans="1:67" x14ac:dyDescent="0.2">
      <c r="E8" s="13"/>
      <c r="F8" s="13"/>
      <c r="G8" s="13"/>
      <c r="H8" s="13"/>
      <c r="I8" s="13"/>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row>
    <row r="9" spans="1:67" x14ac:dyDescent="0.2">
      <c r="A9" s="2" t="s">
        <v>98</v>
      </c>
      <c r="C9" s="2" t="s">
        <v>99</v>
      </c>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row>
    <row r="10" spans="1:67" x14ac:dyDescent="0.2">
      <c r="C10" s="3">
        <v>0</v>
      </c>
      <c r="E10" s="9">
        <v>28910</v>
      </c>
      <c r="F10" s="9">
        <v>30230</v>
      </c>
      <c r="G10" s="9">
        <v>31360</v>
      </c>
      <c r="H10" s="9">
        <v>30830</v>
      </c>
      <c r="I10" s="9">
        <v>31510</v>
      </c>
      <c r="J10" s="9">
        <v>30670</v>
      </c>
      <c r="K10" s="9">
        <v>29880</v>
      </c>
      <c r="L10" s="9">
        <v>29370</v>
      </c>
      <c r="M10" s="9">
        <v>28560</v>
      </c>
      <c r="N10" s="9">
        <v>28510</v>
      </c>
      <c r="O10" s="9">
        <v>29010</v>
      </c>
      <c r="P10" s="9">
        <v>29320</v>
      </c>
      <c r="Q10" s="9">
        <v>29590</v>
      </c>
      <c r="R10" s="9">
        <v>29850</v>
      </c>
      <c r="S10" s="9">
        <v>30110</v>
      </c>
      <c r="T10" s="9">
        <v>30330</v>
      </c>
      <c r="U10" s="9">
        <v>30530</v>
      </c>
      <c r="V10" s="9">
        <v>30690</v>
      </c>
      <c r="W10" s="9">
        <v>30820</v>
      </c>
      <c r="X10" s="9">
        <v>30920</v>
      </c>
      <c r="Y10" s="9">
        <v>30990</v>
      </c>
      <c r="Z10" s="9">
        <v>31020</v>
      </c>
      <c r="AA10" s="9">
        <v>31030</v>
      </c>
      <c r="AB10" s="9">
        <v>31000</v>
      </c>
      <c r="AC10" s="9">
        <v>30950</v>
      </c>
      <c r="AD10" s="9">
        <v>30870</v>
      </c>
      <c r="AE10" s="9">
        <v>30790</v>
      </c>
      <c r="AF10" s="9">
        <v>30710</v>
      </c>
      <c r="AG10" s="9">
        <v>30630</v>
      </c>
      <c r="AH10" s="9">
        <v>30580</v>
      </c>
      <c r="AI10" s="9">
        <v>30550</v>
      </c>
      <c r="AJ10" s="9">
        <v>30550</v>
      </c>
      <c r="AK10" s="9">
        <v>30560</v>
      </c>
      <c r="AL10" s="9">
        <v>30590</v>
      </c>
      <c r="AM10" s="9">
        <v>30630</v>
      </c>
      <c r="AN10" s="9">
        <v>30670</v>
      </c>
      <c r="AO10" s="9">
        <v>30710</v>
      </c>
      <c r="AP10" s="9">
        <v>30750</v>
      </c>
      <c r="AQ10" s="9">
        <v>30780</v>
      </c>
      <c r="AR10" s="9">
        <v>30800</v>
      </c>
      <c r="AS10" s="9">
        <v>30810</v>
      </c>
      <c r="AT10" s="9">
        <v>30820</v>
      </c>
      <c r="AU10" s="9">
        <v>30830</v>
      </c>
      <c r="AV10" s="9">
        <v>30850</v>
      </c>
      <c r="AW10" s="9">
        <v>30880</v>
      </c>
      <c r="AX10" s="9">
        <v>30920</v>
      </c>
      <c r="AY10" s="9">
        <v>30970</v>
      </c>
      <c r="AZ10" s="9">
        <v>31030</v>
      </c>
      <c r="BA10" s="9">
        <v>31090</v>
      </c>
      <c r="BB10" s="9">
        <v>31160</v>
      </c>
      <c r="BC10" s="9">
        <v>31230</v>
      </c>
      <c r="BD10" s="9">
        <v>31290</v>
      </c>
      <c r="BE10" s="9">
        <v>31350</v>
      </c>
      <c r="BF10" s="9">
        <v>31390</v>
      </c>
      <c r="BG10" s="9">
        <v>31420</v>
      </c>
      <c r="BH10" s="9">
        <v>31450</v>
      </c>
      <c r="BI10" s="9">
        <v>31460</v>
      </c>
      <c r="BJ10" s="9">
        <v>31470</v>
      </c>
      <c r="BK10" s="9">
        <v>31470</v>
      </c>
      <c r="BL10" s="9">
        <v>31460</v>
      </c>
      <c r="BM10" s="9">
        <v>31460</v>
      </c>
      <c r="BN10" s="9">
        <v>31450</v>
      </c>
      <c r="BO10" s="9">
        <v>31440</v>
      </c>
    </row>
    <row r="11" spans="1:67" x14ac:dyDescent="0.2">
      <c r="C11" s="3">
        <v>1</v>
      </c>
      <c r="E11" s="9">
        <v>27990</v>
      </c>
      <c r="F11" s="9">
        <v>28850</v>
      </c>
      <c r="G11" s="9">
        <v>30110</v>
      </c>
      <c r="H11" s="9">
        <v>31260</v>
      </c>
      <c r="I11" s="9">
        <v>30820</v>
      </c>
      <c r="J11" s="9">
        <v>31460</v>
      </c>
      <c r="K11" s="9">
        <v>30640</v>
      </c>
      <c r="L11" s="9">
        <v>29950</v>
      </c>
      <c r="M11" s="9">
        <v>29530</v>
      </c>
      <c r="N11" s="9">
        <v>28760</v>
      </c>
      <c r="O11" s="9">
        <v>28610</v>
      </c>
      <c r="P11" s="9">
        <v>28980</v>
      </c>
      <c r="Q11" s="9">
        <v>29300</v>
      </c>
      <c r="R11" s="9">
        <v>29570</v>
      </c>
      <c r="S11" s="9">
        <v>29830</v>
      </c>
      <c r="T11" s="9">
        <v>30090</v>
      </c>
      <c r="U11" s="9">
        <v>30310</v>
      </c>
      <c r="V11" s="9">
        <v>30510</v>
      </c>
      <c r="W11" s="9">
        <v>30680</v>
      </c>
      <c r="X11" s="9">
        <v>30810</v>
      </c>
      <c r="Y11" s="9">
        <v>30910</v>
      </c>
      <c r="Z11" s="9">
        <v>30970</v>
      </c>
      <c r="AA11" s="9">
        <v>31010</v>
      </c>
      <c r="AB11" s="9">
        <v>31010</v>
      </c>
      <c r="AC11" s="9">
        <v>30990</v>
      </c>
      <c r="AD11" s="9">
        <v>30930</v>
      </c>
      <c r="AE11" s="9">
        <v>30860</v>
      </c>
      <c r="AF11" s="9">
        <v>30780</v>
      </c>
      <c r="AG11" s="9">
        <v>30690</v>
      </c>
      <c r="AH11" s="9">
        <v>30620</v>
      </c>
      <c r="AI11" s="9">
        <v>30570</v>
      </c>
      <c r="AJ11" s="9">
        <v>30540</v>
      </c>
      <c r="AK11" s="9">
        <v>30540</v>
      </c>
      <c r="AL11" s="9">
        <v>30550</v>
      </c>
      <c r="AM11" s="9">
        <v>30580</v>
      </c>
      <c r="AN11" s="9">
        <v>30620</v>
      </c>
      <c r="AO11" s="9">
        <v>30660</v>
      </c>
      <c r="AP11" s="9">
        <v>30700</v>
      </c>
      <c r="AQ11" s="9">
        <v>30740</v>
      </c>
      <c r="AR11" s="9">
        <v>30770</v>
      </c>
      <c r="AS11" s="9">
        <v>30790</v>
      </c>
      <c r="AT11" s="9">
        <v>30800</v>
      </c>
      <c r="AU11" s="9">
        <v>30810</v>
      </c>
      <c r="AV11" s="9">
        <v>30830</v>
      </c>
      <c r="AW11" s="9">
        <v>30840</v>
      </c>
      <c r="AX11" s="9">
        <v>30870</v>
      </c>
      <c r="AY11" s="9">
        <v>30910</v>
      </c>
      <c r="AZ11" s="9">
        <v>30960</v>
      </c>
      <c r="BA11" s="9">
        <v>31020</v>
      </c>
      <c r="BB11" s="9">
        <v>31090</v>
      </c>
      <c r="BC11" s="9">
        <v>31160</v>
      </c>
      <c r="BD11" s="9">
        <v>31220</v>
      </c>
      <c r="BE11" s="9">
        <v>31290</v>
      </c>
      <c r="BF11" s="9">
        <v>31340</v>
      </c>
      <c r="BG11" s="9">
        <v>31380</v>
      </c>
      <c r="BH11" s="9">
        <v>31420</v>
      </c>
      <c r="BI11" s="9">
        <v>31440</v>
      </c>
      <c r="BJ11" s="9">
        <v>31450</v>
      </c>
      <c r="BK11" s="9">
        <v>31460</v>
      </c>
      <c r="BL11" s="9">
        <v>31460</v>
      </c>
      <c r="BM11" s="9">
        <v>31460</v>
      </c>
      <c r="BN11" s="9">
        <v>31450</v>
      </c>
      <c r="BO11" s="9">
        <v>31440</v>
      </c>
    </row>
    <row r="12" spans="1:67" x14ac:dyDescent="0.2">
      <c r="C12" s="3">
        <v>2</v>
      </c>
      <c r="E12" s="9">
        <v>28180</v>
      </c>
      <c r="F12" s="9">
        <v>28100</v>
      </c>
      <c r="G12" s="9">
        <v>28870</v>
      </c>
      <c r="H12" s="9">
        <v>30220</v>
      </c>
      <c r="I12" s="9">
        <v>31340</v>
      </c>
      <c r="J12" s="9">
        <v>30770</v>
      </c>
      <c r="K12" s="9">
        <v>31310</v>
      </c>
      <c r="L12" s="9">
        <v>30580</v>
      </c>
      <c r="M12" s="9">
        <v>30150</v>
      </c>
      <c r="N12" s="9">
        <v>29760</v>
      </c>
      <c r="O12" s="9">
        <v>28870</v>
      </c>
      <c r="P12" s="9">
        <v>28590</v>
      </c>
      <c r="Q12" s="9">
        <v>28960</v>
      </c>
      <c r="R12" s="9">
        <v>29280</v>
      </c>
      <c r="S12" s="9">
        <v>29550</v>
      </c>
      <c r="T12" s="9">
        <v>29820</v>
      </c>
      <c r="U12" s="9">
        <v>30070</v>
      </c>
      <c r="V12" s="9">
        <v>30290</v>
      </c>
      <c r="W12" s="9">
        <v>30490</v>
      </c>
      <c r="X12" s="9">
        <v>30660</v>
      </c>
      <c r="Y12" s="9">
        <v>30790</v>
      </c>
      <c r="Z12" s="9">
        <v>30890</v>
      </c>
      <c r="AA12" s="9">
        <v>30950</v>
      </c>
      <c r="AB12" s="9">
        <v>30990</v>
      </c>
      <c r="AC12" s="9">
        <v>30990</v>
      </c>
      <c r="AD12" s="9">
        <v>30970</v>
      </c>
      <c r="AE12" s="9">
        <v>30910</v>
      </c>
      <c r="AF12" s="9">
        <v>30840</v>
      </c>
      <c r="AG12" s="9">
        <v>30760</v>
      </c>
      <c r="AH12" s="9">
        <v>30680</v>
      </c>
      <c r="AI12" s="9">
        <v>30600</v>
      </c>
      <c r="AJ12" s="9">
        <v>30550</v>
      </c>
      <c r="AK12" s="9">
        <v>30520</v>
      </c>
      <c r="AL12" s="9">
        <v>30520</v>
      </c>
      <c r="AM12" s="9">
        <v>30530</v>
      </c>
      <c r="AN12" s="9">
        <v>30570</v>
      </c>
      <c r="AO12" s="9">
        <v>30610</v>
      </c>
      <c r="AP12" s="9">
        <v>30650</v>
      </c>
      <c r="AQ12" s="9">
        <v>30690</v>
      </c>
      <c r="AR12" s="9">
        <v>30720</v>
      </c>
      <c r="AS12" s="9">
        <v>30750</v>
      </c>
      <c r="AT12" s="9">
        <v>30770</v>
      </c>
      <c r="AU12" s="9">
        <v>30790</v>
      </c>
      <c r="AV12" s="9">
        <v>30800</v>
      </c>
      <c r="AW12" s="9">
        <v>30810</v>
      </c>
      <c r="AX12" s="9">
        <v>30830</v>
      </c>
      <c r="AY12" s="9">
        <v>30860</v>
      </c>
      <c r="AZ12" s="9">
        <v>30890</v>
      </c>
      <c r="BA12" s="9">
        <v>30940</v>
      </c>
      <c r="BB12" s="9">
        <v>31000</v>
      </c>
      <c r="BC12" s="9">
        <v>31070</v>
      </c>
      <c r="BD12" s="9">
        <v>31140</v>
      </c>
      <c r="BE12" s="9">
        <v>31210</v>
      </c>
      <c r="BF12" s="9">
        <v>31270</v>
      </c>
      <c r="BG12" s="9">
        <v>31330</v>
      </c>
      <c r="BH12" s="9">
        <v>31370</v>
      </c>
      <c r="BI12" s="9">
        <v>31400</v>
      </c>
      <c r="BJ12" s="9">
        <v>31430</v>
      </c>
      <c r="BK12" s="9">
        <v>31440</v>
      </c>
      <c r="BL12" s="9">
        <v>31450</v>
      </c>
      <c r="BM12" s="9">
        <v>31450</v>
      </c>
      <c r="BN12" s="9">
        <v>31440</v>
      </c>
      <c r="BO12" s="9">
        <v>31440</v>
      </c>
    </row>
    <row r="13" spans="1:67" x14ac:dyDescent="0.2">
      <c r="C13" s="3">
        <v>3</v>
      </c>
      <c r="E13" s="9">
        <v>27310</v>
      </c>
      <c r="F13" s="9">
        <v>28260</v>
      </c>
      <c r="G13" s="9">
        <v>28090</v>
      </c>
      <c r="H13" s="9">
        <v>28910</v>
      </c>
      <c r="I13" s="9">
        <v>30280</v>
      </c>
      <c r="J13" s="9">
        <v>31290</v>
      </c>
      <c r="K13" s="9">
        <v>30670</v>
      </c>
      <c r="L13" s="9">
        <v>31320</v>
      </c>
      <c r="M13" s="9">
        <v>30750</v>
      </c>
      <c r="N13" s="9">
        <v>30380</v>
      </c>
      <c r="O13" s="9">
        <v>29870</v>
      </c>
      <c r="P13" s="9">
        <v>28860</v>
      </c>
      <c r="Q13" s="9">
        <v>28580</v>
      </c>
      <c r="R13" s="9">
        <v>28960</v>
      </c>
      <c r="S13" s="9">
        <v>29270</v>
      </c>
      <c r="T13" s="9">
        <v>29540</v>
      </c>
      <c r="U13" s="9">
        <v>29810</v>
      </c>
      <c r="V13" s="9">
        <v>30060</v>
      </c>
      <c r="W13" s="9">
        <v>30290</v>
      </c>
      <c r="X13" s="9">
        <v>30480</v>
      </c>
      <c r="Y13" s="9">
        <v>30650</v>
      </c>
      <c r="Z13" s="9">
        <v>30780</v>
      </c>
      <c r="AA13" s="9">
        <v>30880</v>
      </c>
      <c r="AB13" s="9">
        <v>30950</v>
      </c>
      <c r="AC13" s="9">
        <v>30980</v>
      </c>
      <c r="AD13" s="9">
        <v>30990</v>
      </c>
      <c r="AE13" s="9">
        <v>30960</v>
      </c>
      <c r="AF13" s="9">
        <v>30910</v>
      </c>
      <c r="AG13" s="9">
        <v>30840</v>
      </c>
      <c r="AH13" s="9">
        <v>30750</v>
      </c>
      <c r="AI13" s="9">
        <v>30670</v>
      </c>
      <c r="AJ13" s="9">
        <v>30600</v>
      </c>
      <c r="AK13" s="9">
        <v>30550</v>
      </c>
      <c r="AL13" s="9">
        <v>30520</v>
      </c>
      <c r="AM13" s="9">
        <v>30510</v>
      </c>
      <c r="AN13" s="9">
        <v>30530</v>
      </c>
      <c r="AO13" s="9">
        <v>30560</v>
      </c>
      <c r="AP13" s="9">
        <v>30600</v>
      </c>
      <c r="AQ13" s="9">
        <v>30640</v>
      </c>
      <c r="AR13" s="9">
        <v>30680</v>
      </c>
      <c r="AS13" s="9">
        <v>30720</v>
      </c>
      <c r="AT13" s="9">
        <v>30750</v>
      </c>
      <c r="AU13" s="9">
        <v>30770</v>
      </c>
      <c r="AV13" s="9">
        <v>30780</v>
      </c>
      <c r="AW13" s="9">
        <v>30790</v>
      </c>
      <c r="AX13" s="9">
        <v>30810</v>
      </c>
      <c r="AY13" s="9">
        <v>30820</v>
      </c>
      <c r="AZ13" s="9">
        <v>30850</v>
      </c>
      <c r="BA13" s="9">
        <v>30890</v>
      </c>
      <c r="BB13" s="9">
        <v>30940</v>
      </c>
      <c r="BC13" s="9">
        <v>31000</v>
      </c>
      <c r="BD13" s="9">
        <v>31070</v>
      </c>
      <c r="BE13" s="9">
        <v>31140</v>
      </c>
      <c r="BF13" s="9">
        <v>31200</v>
      </c>
      <c r="BG13" s="9">
        <v>31270</v>
      </c>
      <c r="BH13" s="9">
        <v>31320</v>
      </c>
      <c r="BI13" s="9">
        <v>31370</v>
      </c>
      <c r="BJ13" s="9">
        <v>31400</v>
      </c>
      <c r="BK13" s="9">
        <v>31420</v>
      </c>
      <c r="BL13" s="9">
        <v>31440</v>
      </c>
      <c r="BM13" s="9">
        <v>31440</v>
      </c>
      <c r="BN13" s="9">
        <v>31440</v>
      </c>
      <c r="BO13" s="9">
        <v>31440</v>
      </c>
    </row>
    <row r="14" spans="1:67" x14ac:dyDescent="0.2">
      <c r="C14" s="3">
        <v>4</v>
      </c>
      <c r="E14" s="9">
        <v>27400</v>
      </c>
      <c r="F14" s="9">
        <v>27460</v>
      </c>
      <c r="G14" s="9">
        <v>28310</v>
      </c>
      <c r="H14" s="9">
        <v>28190</v>
      </c>
      <c r="I14" s="9">
        <v>29030</v>
      </c>
      <c r="J14" s="9">
        <v>30250</v>
      </c>
      <c r="K14" s="9">
        <v>31140</v>
      </c>
      <c r="L14" s="9">
        <v>30550</v>
      </c>
      <c r="M14" s="9">
        <v>31460</v>
      </c>
      <c r="N14" s="9">
        <v>30990</v>
      </c>
      <c r="O14" s="9">
        <v>30500</v>
      </c>
      <c r="P14" s="9">
        <v>29870</v>
      </c>
      <c r="Q14" s="9">
        <v>28860</v>
      </c>
      <c r="R14" s="9">
        <v>28580</v>
      </c>
      <c r="S14" s="9">
        <v>28960</v>
      </c>
      <c r="T14" s="9">
        <v>29280</v>
      </c>
      <c r="U14" s="9">
        <v>29540</v>
      </c>
      <c r="V14" s="9">
        <v>29810</v>
      </c>
      <c r="W14" s="9">
        <v>30060</v>
      </c>
      <c r="X14" s="9">
        <v>30290</v>
      </c>
      <c r="Y14" s="9">
        <v>30480</v>
      </c>
      <c r="Z14" s="9">
        <v>30650</v>
      </c>
      <c r="AA14" s="9">
        <v>30780</v>
      </c>
      <c r="AB14" s="9">
        <v>30880</v>
      </c>
      <c r="AC14" s="9">
        <v>30950</v>
      </c>
      <c r="AD14" s="9">
        <v>30990</v>
      </c>
      <c r="AE14" s="9">
        <v>30990</v>
      </c>
      <c r="AF14" s="9">
        <v>30960</v>
      </c>
      <c r="AG14" s="9">
        <v>30910</v>
      </c>
      <c r="AH14" s="9">
        <v>30840</v>
      </c>
      <c r="AI14" s="9">
        <v>30760</v>
      </c>
      <c r="AJ14" s="9">
        <v>30670</v>
      </c>
      <c r="AK14" s="9">
        <v>30600</v>
      </c>
      <c r="AL14" s="9">
        <v>30550</v>
      </c>
      <c r="AM14" s="9">
        <v>30520</v>
      </c>
      <c r="AN14" s="9">
        <v>30520</v>
      </c>
      <c r="AO14" s="9">
        <v>30530</v>
      </c>
      <c r="AP14" s="9">
        <v>30560</v>
      </c>
      <c r="AQ14" s="9">
        <v>30600</v>
      </c>
      <c r="AR14" s="9">
        <v>30650</v>
      </c>
      <c r="AS14" s="9">
        <v>30690</v>
      </c>
      <c r="AT14" s="9">
        <v>30720</v>
      </c>
      <c r="AU14" s="9">
        <v>30750</v>
      </c>
      <c r="AV14" s="9">
        <v>30770</v>
      </c>
      <c r="AW14" s="9">
        <v>30780</v>
      </c>
      <c r="AX14" s="9">
        <v>30800</v>
      </c>
      <c r="AY14" s="9">
        <v>30810</v>
      </c>
      <c r="AZ14" s="9">
        <v>30830</v>
      </c>
      <c r="BA14" s="9">
        <v>30850</v>
      </c>
      <c r="BB14" s="9">
        <v>30890</v>
      </c>
      <c r="BC14" s="9">
        <v>30940</v>
      </c>
      <c r="BD14" s="9">
        <v>31000</v>
      </c>
      <c r="BE14" s="9">
        <v>31070</v>
      </c>
      <c r="BF14" s="9">
        <v>31140</v>
      </c>
      <c r="BG14" s="9">
        <v>31210</v>
      </c>
      <c r="BH14" s="9">
        <v>31270</v>
      </c>
      <c r="BI14" s="9">
        <v>31320</v>
      </c>
      <c r="BJ14" s="9">
        <v>31370</v>
      </c>
      <c r="BK14" s="9">
        <v>31400</v>
      </c>
      <c r="BL14" s="9">
        <v>31430</v>
      </c>
      <c r="BM14" s="9">
        <v>31440</v>
      </c>
      <c r="BN14" s="9">
        <v>31450</v>
      </c>
      <c r="BO14" s="9">
        <v>31450</v>
      </c>
    </row>
    <row r="15" spans="1:67" x14ac:dyDescent="0.2">
      <c r="C15" s="3">
        <v>5</v>
      </c>
      <c r="E15" s="9">
        <v>28370</v>
      </c>
      <c r="F15" s="9">
        <v>27650</v>
      </c>
      <c r="G15" s="9">
        <v>27610</v>
      </c>
      <c r="H15" s="9">
        <v>28410</v>
      </c>
      <c r="I15" s="9">
        <v>28320</v>
      </c>
      <c r="J15" s="9">
        <v>29050</v>
      </c>
      <c r="K15" s="9">
        <v>30120</v>
      </c>
      <c r="L15" s="9">
        <v>31090</v>
      </c>
      <c r="M15" s="9">
        <v>30740</v>
      </c>
      <c r="N15" s="9">
        <v>31690</v>
      </c>
      <c r="O15" s="9">
        <v>31100</v>
      </c>
      <c r="P15" s="9">
        <v>30500</v>
      </c>
      <c r="Q15" s="9">
        <v>29870</v>
      </c>
      <c r="R15" s="9">
        <v>28860</v>
      </c>
      <c r="S15" s="9">
        <v>28580</v>
      </c>
      <c r="T15" s="9">
        <v>28960</v>
      </c>
      <c r="U15" s="9">
        <v>29280</v>
      </c>
      <c r="V15" s="9">
        <v>29550</v>
      </c>
      <c r="W15" s="9">
        <v>29810</v>
      </c>
      <c r="X15" s="9">
        <v>30060</v>
      </c>
      <c r="Y15" s="9">
        <v>30290</v>
      </c>
      <c r="Z15" s="9">
        <v>30490</v>
      </c>
      <c r="AA15" s="9">
        <v>30650</v>
      </c>
      <c r="AB15" s="9">
        <v>30790</v>
      </c>
      <c r="AC15" s="9">
        <v>30880</v>
      </c>
      <c r="AD15" s="9">
        <v>30950</v>
      </c>
      <c r="AE15" s="9">
        <v>30990</v>
      </c>
      <c r="AF15" s="9">
        <v>30990</v>
      </c>
      <c r="AG15" s="9">
        <v>30970</v>
      </c>
      <c r="AH15" s="9">
        <v>30910</v>
      </c>
      <c r="AI15" s="9">
        <v>30840</v>
      </c>
      <c r="AJ15" s="9">
        <v>30760</v>
      </c>
      <c r="AK15" s="9">
        <v>30680</v>
      </c>
      <c r="AL15" s="9">
        <v>30600</v>
      </c>
      <c r="AM15" s="9">
        <v>30550</v>
      </c>
      <c r="AN15" s="9">
        <v>30520</v>
      </c>
      <c r="AO15" s="9">
        <v>30520</v>
      </c>
      <c r="AP15" s="9">
        <v>30530</v>
      </c>
      <c r="AQ15" s="9">
        <v>30570</v>
      </c>
      <c r="AR15" s="9">
        <v>30610</v>
      </c>
      <c r="AS15" s="9">
        <v>30650</v>
      </c>
      <c r="AT15" s="9">
        <v>30690</v>
      </c>
      <c r="AU15" s="9">
        <v>30720</v>
      </c>
      <c r="AV15" s="9">
        <v>30750</v>
      </c>
      <c r="AW15" s="9">
        <v>30770</v>
      </c>
      <c r="AX15" s="9">
        <v>30790</v>
      </c>
      <c r="AY15" s="9">
        <v>30800</v>
      </c>
      <c r="AZ15" s="9">
        <v>30810</v>
      </c>
      <c r="BA15" s="9">
        <v>30830</v>
      </c>
      <c r="BB15" s="9">
        <v>30860</v>
      </c>
      <c r="BC15" s="9">
        <v>30890</v>
      </c>
      <c r="BD15" s="9">
        <v>30940</v>
      </c>
      <c r="BE15" s="9">
        <v>31010</v>
      </c>
      <c r="BF15" s="9">
        <v>31070</v>
      </c>
      <c r="BG15" s="9">
        <v>31140</v>
      </c>
      <c r="BH15" s="9">
        <v>31210</v>
      </c>
      <c r="BI15" s="9">
        <v>31270</v>
      </c>
      <c r="BJ15" s="9">
        <v>31330</v>
      </c>
      <c r="BK15" s="9">
        <v>31370</v>
      </c>
      <c r="BL15" s="9">
        <v>31410</v>
      </c>
      <c r="BM15" s="9">
        <v>31430</v>
      </c>
      <c r="BN15" s="9">
        <v>31440</v>
      </c>
      <c r="BO15" s="9">
        <v>31450</v>
      </c>
    </row>
    <row r="16" spans="1:67" x14ac:dyDescent="0.2">
      <c r="C16" s="3">
        <v>6</v>
      </c>
      <c r="E16" s="9">
        <v>28910</v>
      </c>
      <c r="F16" s="9">
        <v>28620</v>
      </c>
      <c r="G16" s="9">
        <v>27860</v>
      </c>
      <c r="H16" s="9">
        <v>27770</v>
      </c>
      <c r="I16" s="9">
        <v>28550</v>
      </c>
      <c r="J16" s="9">
        <v>28290</v>
      </c>
      <c r="K16" s="9">
        <v>28900</v>
      </c>
      <c r="L16" s="9">
        <v>30050</v>
      </c>
      <c r="M16" s="9">
        <v>31230</v>
      </c>
      <c r="N16" s="9">
        <v>30960</v>
      </c>
      <c r="O16" s="9">
        <v>31800</v>
      </c>
      <c r="P16" s="9">
        <v>31110</v>
      </c>
      <c r="Q16" s="9">
        <v>30500</v>
      </c>
      <c r="R16" s="9">
        <v>29870</v>
      </c>
      <c r="S16" s="9">
        <v>28870</v>
      </c>
      <c r="T16" s="9">
        <v>28590</v>
      </c>
      <c r="U16" s="9">
        <v>28960</v>
      </c>
      <c r="V16" s="9">
        <v>29280</v>
      </c>
      <c r="W16" s="9">
        <v>29550</v>
      </c>
      <c r="X16" s="9">
        <v>29820</v>
      </c>
      <c r="Y16" s="9">
        <v>30070</v>
      </c>
      <c r="Z16" s="9">
        <v>30300</v>
      </c>
      <c r="AA16" s="9">
        <v>30490</v>
      </c>
      <c r="AB16" s="9">
        <v>30660</v>
      </c>
      <c r="AC16" s="9">
        <v>30790</v>
      </c>
      <c r="AD16" s="9">
        <v>30890</v>
      </c>
      <c r="AE16" s="9">
        <v>30960</v>
      </c>
      <c r="AF16" s="9">
        <v>30990</v>
      </c>
      <c r="AG16" s="9">
        <v>31000</v>
      </c>
      <c r="AH16" s="9">
        <v>30970</v>
      </c>
      <c r="AI16" s="9">
        <v>30920</v>
      </c>
      <c r="AJ16" s="9">
        <v>30850</v>
      </c>
      <c r="AK16" s="9">
        <v>30770</v>
      </c>
      <c r="AL16" s="9">
        <v>30680</v>
      </c>
      <c r="AM16" s="9">
        <v>30610</v>
      </c>
      <c r="AN16" s="9">
        <v>30560</v>
      </c>
      <c r="AO16" s="9">
        <v>30530</v>
      </c>
      <c r="AP16" s="9">
        <v>30530</v>
      </c>
      <c r="AQ16" s="9">
        <v>30540</v>
      </c>
      <c r="AR16" s="9">
        <v>30570</v>
      </c>
      <c r="AS16" s="9">
        <v>30610</v>
      </c>
      <c r="AT16" s="9">
        <v>30660</v>
      </c>
      <c r="AU16" s="9">
        <v>30700</v>
      </c>
      <c r="AV16" s="9">
        <v>30730</v>
      </c>
      <c r="AW16" s="9">
        <v>30760</v>
      </c>
      <c r="AX16" s="9">
        <v>30780</v>
      </c>
      <c r="AY16" s="9">
        <v>30800</v>
      </c>
      <c r="AZ16" s="9">
        <v>30810</v>
      </c>
      <c r="BA16" s="9">
        <v>30820</v>
      </c>
      <c r="BB16" s="9">
        <v>30840</v>
      </c>
      <c r="BC16" s="9">
        <v>30860</v>
      </c>
      <c r="BD16" s="9">
        <v>30900</v>
      </c>
      <c r="BE16" s="9">
        <v>30950</v>
      </c>
      <c r="BF16" s="9">
        <v>31010</v>
      </c>
      <c r="BG16" s="9">
        <v>31080</v>
      </c>
      <c r="BH16" s="9">
        <v>31150</v>
      </c>
      <c r="BI16" s="9">
        <v>31220</v>
      </c>
      <c r="BJ16" s="9">
        <v>31280</v>
      </c>
      <c r="BK16" s="9">
        <v>31340</v>
      </c>
      <c r="BL16" s="9">
        <v>31380</v>
      </c>
      <c r="BM16" s="9">
        <v>31410</v>
      </c>
      <c r="BN16" s="9">
        <v>31440</v>
      </c>
      <c r="BO16" s="9">
        <v>31450</v>
      </c>
    </row>
    <row r="17" spans="3:67" x14ac:dyDescent="0.2">
      <c r="C17" s="3">
        <v>7</v>
      </c>
      <c r="E17" s="9">
        <v>27980</v>
      </c>
      <c r="F17" s="9">
        <v>29160</v>
      </c>
      <c r="G17" s="9">
        <v>28760</v>
      </c>
      <c r="H17" s="9">
        <v>27990</v>
      </c>
      <c r="I17" s="9">
        <v>27850</v>
      </c>
      <c r="J17" s="9">
        <v>28600</v>
      </c>
      <c r="K17" s="9">
        <v>28200</v>
      </c>
      <c r="L17" s="9">
        <v>28790</v>
      </c>
      <c r="M17" s="9">
        <v>30110</v>
      </c>
      <c r="N17" s="9">
        <v>31450</v>
      </c>
      <c r="O17" s="9">
        <v>31080</v>
      </c>
      <c r="P17" s="9">
        <v>31810</v>
      </c>
      <c r="Q17" s="9">
        <v>31120</v>
      </c>
      <c r="R17" s="9">
        <v>30510</v>
      </c>
      <c r="S17" s="9">
        <v>29880</v>
      </c>
      <c r="T17" s="9">
        <v>28880</v>
      </c>
      <c r="U17" s="9">
        <v>28600</v>
      </c>
      <c r="V17" s="9">
        <v>28970</v>
      </c>
      <c r="W17" s="9">
        <v>29290</v>
      </c>
      <c r="X17" s="9">
        <v>29560</v>
      </c>
      <c r="Y17" s="9">
        <v>29830</v>
      </c>
      <c r="Z17" s="9">
        <v>30080</v>
      </c>
      <c r="AA17" s="9">
        <v>30310</v>
      </c>
      <c r="AB17" s="9">
        <v>30500</v>
      </c>
      <c r="AC17" s="9">
        <v>30670</v>
      </c>
      <c r="AD17" s="9">
        <v>30800</v>
      </c>
      <c r="AE17" s="9">
        <v>30900</v>
      </c>
      <c r="AF17" s="9">
        <v>30970</v>
      </c>
      <c r="AG17" s="9">
        <v>31000</v>
      </c>
      <c r="AH17" s="9">
        <v>31010</v>
      </c>
      <c r="AI17" s="9">
        <v>30980</v>
      </c>
      <c r="AJ17" s="9">
        <v>30930</v>
      </c>
      <c r="AK17" s="9">
        <v>30860</v>
      </c>
      <c r="AL17" s="9">
        <v>30780</v>
      </c>
      <c r="AM17" s="9">
        <v>30690</v>
      </c>
      <c r="AN17" s="9">
        <v>30620</v>
      </c>
      <c r="AO17" s="9">
        <v>30570</v>
      </c>
      <c r="AP17" s="9">
        <v>30540</v>
      </c>
      <c r="AQ17" s="9">
        <v>30540</v>
      </c>
      <c r="AR17" s="9">
        <v>30550</v>
      </c>
      <c r="AS17" s="9">
        <v>30580</v>
      </c>
      <c r="AT17" s="9">
        <v>30620</v>
      </c>
      <c r="AU17" s="9">
        <v>30670</v>
      </c>
      <c r="AV17" s="9">
        <v>30710</v>
      </c>
      <c r="AW17" s="9">
        <v>30740</v>
      </c>
      <c r="AX17" s="9">
        <v>30770</v>
      </c>
      <c r="AY17" s="9">
        <v>30790</v>
      </c>
      <c r="AZ17" s="9">
        <v>30810</v>
      </c>
      <c r="BA17" s="9">
        <v>30820</v>
      </c>
      <c r="BB17" s="9">
        <v>30830</v>
      </c>
      <c r="BC17" s="9">
        <v>30850</v>
      </c>
      <c r="BD17" s="9">
        <v>30870</v>
      </c>
      <c r="BE17" s="9">
        <v>30910</v>
      </c>
      <c r="BF17" s="9">
        <v>30960</v>
      </c>
      <c r="BG17" s="9">
        <v>31020</v>
      </c>
      <c r="BH17" s="9">
        <v>31090</v>
      </c>
      <c r="BI17" s="9">
        <v>31160</v>
      </c>
      <c r="BJ17" s="9">
        <v>31230</v>
      </c>
      <c r="BK17" s="9">
        <v>31290</v>
      </c>
      <c r="BL17" s="9">
        <v>31350</v>
      </c>
      <c r="BM17" s="9">
        <v>31390</v>
      </c>
      <c r="BN17" s="9">
        <v>31420</v>
      </c>
      <c r="BO17" s="9">
        <v>31450</v>
      </c>
    </row>
    <row r="18" spans="3:67" x14ac:dyDescent="0.2">
      <c r="C18" s="3">
        <v>8</v>
      </c>
      <c r="E18" s="9">
        <v>28620</v>
      </c>
      <c r="F18" s="9">
        <v>28230</v>
      </c>
      <c r="G18" s="9">
        <v>29340</v>
      </c>
      <c r="H18" s="9">
        <v>28950</v>
      </c>
      <c r="I18" s="9">
        <v>28120</v>
      </c>
      <c r="J18" s="9">
        <v>27910</v>
      </c>
      <c r="K18" s="9">
        <v>28490</v>
      </c>
      <c r="L18" s="9">
        <v>28140</v>
      </c>
      <c r="M18" s="9">
        <v>28910</v>
      </c>
      <c r="N18" s="9">
        <v>30330</v>
      </c>
      <c r="O18" s="9">
        <v>31570</v>
      </c>
      <c r="P18" s="9">
        <v>31080</v>
      </c>
      <c r="Q18" s="9">
        <v>31820</v>
      </c>
      <c r="R18" s="9">
        <v>31120</v>
      </c>
      <c r="S18" s="9">
        <v>30520</v>
      </c>
      <c r="T18" s="9">
        <v>29890</v>
      </c>
      <c r="U18" s="9">
        <v>28880</v>
      </c>
      <c r="V18" s="9">
        <v>28600</v>
      </c>
      <c r="W18" s="9">
        <v>28980</v>
      </c>
      <c r="X18" s="9">
        <v>29300</v>
      </c>
      <c r="Y18" s="9">
        <v>29570</v>
      </c>
      <c r="Z18" s="9">
        <v>29830</v>
      </c>
      <c r="AA18" s="9">
        <v>30090</v>
      </c>
      <c r="AB18" s="9">
        <v>30310</v>
      </c>
      <c r="AC18" s="9">
        <v>30510</v>
      </c>
      <c r="AD18" s="9">
        <v>30680</v>
      </c>
      <c r="AE18" s="9">
        <v>30810</v>
      </c>
      <c r="AF18" s="9">
        <v>30910</v>
      </c>
      <c r="AG18" s="9">
        <v>30980</v>
      </c>
      <c r="AH18" s="9">
        <v>31010</v>
      </c>
      <c r="AI18" s="9">
        <v>31020</v>
      </c>
      <c r="AJ18" s="9">
        <v>30990</v>
      </c>
      <c r="AK18" s="9">
        <v>30940</v>
      </c>
      <c r="AL18" s="9">
        <v>30860</v>
      </c>
      <c r="AM18" s="9">
        <v>30780</v>
      </c>
      <c r="AN18" s="9">
        <v>30700</v>
      </c>
      <c r="AO18" s="9">
        <v>30630</v>
      </c>
      <c r="AP18" s="9">
        <v>30580</v>
      </c>
      <c r="AQ18" s="9">
        <v>30550</v>
      </c>
      <c r="AR18" s="9">
        <v>30550</v>
      </c>
      <c r="AS18" s="9">
        <v>30560</v>
      </c>
      <c r="AT18" s="9">
        <v>30590</v>
      </c>
      <c r="AU18" s="9">
        <v>30630</v>
      </c>
      <c r="AV18" s="9">
        <v>30670</v>
      </c>
      <c r="AW18" s="9">
        <v>30710</v>
      </c>
      <c r="AX18" s="9">
        <v>30750</v>
      </c>
      <c r="AY18" s="9">
        <v>30780</v>
      </c>
      <c r="AZ18" s="9">
        <v>30800</v>
      </c>
      <c r="BA18" s="9">
        <v>30810</v>
      </c>
      <c r="BB18" s="9">
        <v>30830</v>
      </c>
      <c r="BC18" s="9">
        <v>30840</v>
      </c>
      <c r="BD18" s="9">
        <v>30860</v>
      </c>
      <c r="BE18" s="9">
        <v>30880</v>
      </c>
      <c r="BF18" s="9">
        <v>30920</v>
      </c>
      <c r="BG18" s="9">
        <v>30970</v>
      </c>
      <c r="BH18" s="9">
        <v>31030</v>
      </c>
      <c r="BI18" s="9">
        <v>31100</v>
      </c>
      <c r="BJ18" s="9">
        <v>31170</v>
      </c>
      <c r="BK18" s="9">
        <v>31240</v>
      </c>
      <c r="BL18" s="9">
        <v>31300</v>
      </c>
      <c r="BM18" s="9">
        <v>31350</v>
      </c>
      <c r="BN18" s="9">
        <v>31400</v>
      </c>
      <c r="BO18" s="9">
        <v>31430</v>
      </c>
    </row>
    <row r="19" spans="3:67" x14ac:dyDescent="0.2">
      <c r="C19" s="3">
        <v>9</v>
      </c>
      <c r="E19" s="9">
        <v>28770</v>
      </c>
      <c r="F19" s="9">
        <v>28910</v>
      </c>
      <c r="G19" s="9">
        <v>28390</v>
      </c>
      <c r="H19" s="9">
        <v>29550</v>
      </c>
      <c r="I19" s="9">
        <v>29150</v>
      </c>
      <c r="J19" s="9">
        <v>28210</v>
      </c>
      <c r="K19" s="9">
        <v>27850</v>
      </c>
      <c r="L19" s="9">
        <v>28430</v>
      </c>
      <c r="M19" s="9">
        <v>28240</v>
      </c>
      <c r="N19" s="9">
        <v>29140</v>
      </c>
      <c r="O19" s="9">
        <v>30450</v>
      </c>
      <c r="P19" s="9">
        <v>31580</v>
      </c>
      <c r="Q19" s="9">
        <v>31090</v>
      </c>
      <c r="R19" s="9">
        <v>31830</v>
      </c>
      <c r="S19" s="9">
        <v>31130</v>
      </c>
      <c r="T19" s="9">
        <v>30530</v>
      </c>
      <c r="U19" s="9">
        <v>29900</v>
      </c>
      <c r="V19" s="9">
        <v>28890</v>
      </c>
      <c r="W19" s="9">
        <v>28610</v>
      </c>
      <c r="X19" s="9">
        <v>28990</v>
      </c>
      <c r="Y19" s="9">
        <v>29310</v>
      </c>
      <c r="Z19" s="9">
        <v>29580</v>
      </c>
      <c r="AA19" s="9">
        <v>29840</v>
      </c>
      <c r="AB19" s="9">
        <v>30100</v>
      </c>
      <c r="AC19" s="9">
        <v>30320</v>
      </c>
      <c r="AD19" s="9">
        <v>30520</v>
      </c>
      <c r="AE19" s="9">
        <v>30690</v>
      </c>
      <c r="AF19" s="9">
        <v>30820</v>
      </c>
      <c r="AG19" s="9">
        <v>30920</v>
      </c>
      <c r="AH19" s="9">
        <v>30990</v>
      </c>
      <c r="AI19" s="9">
        <v>31020</v>
      </c>
      <c r="AJ19" s="9">
        <v>31030</v>
      </c>
      <c r="AK19" s="9">
        <v>31000</v>
      </c>
      <c r="AL19" s="9">
        <v>30950</v>
      </c>
      <c r="AM19" s="9">
        <v>30870</v>
      </c>
      <c r="AN19" s="9">
        <v>30790</v>
      </c>
      <c r="AO19" s="9">
        <v>30710</v>
      </c>
      <c r="AP19" s="9">
        <v>30640</v>
      </c>
      <c r="AQ19" s="9">
        <v>30590</v>
      </c>
      <c r="AR19" s="9">
        <v>30560</v>
      </c>
      <c r="AS19" s="9">
        <v>30560</v>
      </c>
      <c r="AT19" s="9">
        <v>30570</v>
      </c>
      <c r="AU19" s="9">
        <v>30600</v>
      </c>
      <c r="AV19" s="9">
        <v>30640</v>
      </c>
      <c r="AW19" s="9">
        <v>30680</v>
      </c>
      <c r="AX19" s="9">
        <v>30720</v>
      </c>
      <c r="AY19" s="9">
        <v>30760</v>
      </c>
      <c r="AZ19" s="9">
        <v>30790</v>
      </c>
      <c r="BA19" s="9">
        <v>30810</v>
      </c>
      <c r="BB19" s="9">
        <v>30820</v>
      </c>
      <c r="BC19" s="9">
        <v>30840</v>
      </c>
      <c r="BD19" s="9">
        <v>30850</v>
      </c>
      <c r="BE19" s="9">
        <v>30870</v>
      </c>
      <c r="BF19" s="9">
        <v>30890</v>
      </c>
      <c r="BG19" s="9">
        <v>30930</v>
      </c>
      <c r="BH19" s="9">
        <v>30980</v>
      </c>
      <c r="BI19" s="9">
        <v>31040</v>
      </c>
      <c r="BJ19" s="9">
        <v>31110</v>
      </c>
      <c r="BK19" s="9">
        <v>31180</v>
      </c>
      <c r="BL19" s="9">
        <v>31250</v>
      </c>
      <c r="BM19" s="9">
        <v>31310</v>
      </c>
      <c r="BN19" s="9">
        <v>31360</v>
      </c>
      <c r="BO19" s="9">
        <v>31410</v>
      </c>
    </row>
    <row r="20" spans="3:67" x14ac:dyDescent="0.2">
      <c r="C20" s="3">
        <v>10</v>
      </c>
      <c r="E20" s="9">
        <v>29250</v>
      </c>
      <c r="F20" s="9">
        <v>28990</v>
      </c>
      <c r="G20" s="9">
        <v>29090</v>
      </c>
      <c r="H20" s="9">
        <v>28550</v>
      </c>
      <c r="I20" s="9">
        <v>29770</v>
      </c>
      <c r="J20" s="9">
        <v>29310</v>
      </c>
      <c r="K20" s="9">
        <v>28210</v>
      </c>
      <c r="L20" s="9">
        <v>27900</v>
      </c>
      <c r="M20" s="9">
        <v>28490</v>
      </c>
      <c r="N20" s="9">
        <v>28480</v>
      </c>
      <c r="O20" s="9">
        <v>29270</v>
      </c>
      <c r="P20" s="9">
        <v>30470</v>
      </c>
      <c r="Q20" s="9">
        <v>31590</v>
      </c>
      <c r="R20" s="9">
        <v>31110</v>
      </c>
      <c r="S20" s="9">
        <v>31840</v>
      </c>
      <c r="T20" s="9">
        <v>31140</v>
      </c>
      <c r="U20" s="9">
        <v>30540</v>
      </c>
      <c r="V20" s="9">
        <v>29910</v>
      </c>
      <c r="W20" s="9">
        <v>28910</v>
      </c>
      <c r="X20" s="9">
        <v>28630</v>
      </c>
      <c r="Y20" s="9">
        <v>29000</v>
      </c>
      <c r="Z20" s="9">
        <v>29320</v>
      </c>
      <c r="AA20" s="9">
        <v>29590</v>
      </c>
      <c r="AB20" s="9">
        <v>29860</v>
      </c>
      <c r="AC20" s="9">
        <v>30110</v>
      </c>
      <c r="AD20" s="9">
        <v>30340</v>
      </c>
      <c r="AE20" s="9">
        <v>30530</v>
      </c>
      <c r="AF20" s="9">
        <v>30700</v>
      </c>
      <c r="AG20" s="9">
        <v>30830</v>
      </c>
      <c r="AH20" s="9">
        <v>30930</v>
      </c>
      <c r="AI20" s="9">
        <v>31000</v>
      </c>
      <c r="AJ20" s="9">
        <v>31040</v>
      </c>
      <c r="AK20" s="9">
        <v>31040</v>
      </c>
      <c r="AL20" s="9">
        <v>31010</v>
      </c>
      <c r="AM20" s="9">
        <v>30960</v>
      </c>
      <c r="AN20" s="9">
        <v>30890</v>
      </c>
      <c r="AO20" s="9">
        <v>30810</v>
      </c>
      <c r="AP20" s="9">
        <v>30730</v>
      </c>
      <c r="AQ20" s="9">
        <v>30650</v>
      </c>
      <c r="AR20" s="9">
        <v>30600</v>
      </c>
      <c r="AS20" s="9">
        <v>30570</v>
      </c>
      <c r="AT20" s="9">
        <v>30570</v>
      </c>
      <c r="AU20" s="9">
        <v>30590</v>
      </c>
      <c r="AV20" s="9">
        <v>30620</v>
      </c>
      <c r="AW20" s="9">
        <v>30660</v>
      </c>
      <c r="AX20" s="9">
        <v>30700</v>
      </c>
      <c r="AY20" s="9">
        <v>30740</v>
      </c>
      <c r="AZ20" s="9">
        <v>30780</v>
      </c>
      <c r="BA20" s="9">
        <v>30800</v>
      </c>
      <c r="BB20" s="9">
        <v>30830</v>
      </c>
      <c r="BC20" s="9">
        <v>30840</v>
      </c>
      <c r="BD20" s="9">
        <v>30850</v>
      </c>
      <c r="BE20" s="9">
        <v>30860</v>
      </c>
      <c r="BF20" s="9">
        <v>30880</v>
      </c>
      <c r="BG20" s="9">
        <v>30910</v>
      </c>
      <c r="BH20" s="9">
        <v>30950</v>
      </c>
      <c r="BI20" s="9">
        <v>31000</v>
      </c>
      <c r="BJ20" s="9">
        <v>31060</v>
      </c>
      <c r="BK20" s="9">
        <v>31120</v>
      </c>
      <c r="BL20" s="9">
        <v>31190</v>
      </c>
      <c r="BM20" s="9">
        <v>31260</v>
      </c>
      <c r="BN20" s="9">
        <v>31330</v>
      </c>
      <c r="BO20" s="9">
        <v>31380</v>
      </c>
    </row>
    <row r="21" spans="3:67" x14ac:dyDescent="0.2">
      <c r="C21" s="3">
        <v>11</v>
      </c>
      <c r="E21" s="9">
        <v>29970</v>
      </c>
      <c r="F21" s="9">
        <v>29430</v>
      </c>
      <c r="G21" s="9">
        <v>29180</v>
      </c>
      <c r="H21" s="9">
        <v>29270</v>
      </c>
      <c r="I21" s="9">
        <v>28700</v>
      </c>
      <c r="J21" s="9">
        <v>29880</v>
      </c>
      <c r="K21" s="9">
        <v>29380</v>
      </c>
      <c r="L21" s="9">
        <v>28280</v>
      </c>
      <c r="M21" s="9">
        <v>27980</v>
      </c>
      <c r="N21" s="9">
        <v>28730</v>
      </c>
      <c r="O21" s="9">
        <v>28610</v>
      </c>
      <c r="P21" s="9">
        <v>29280</v>
      </c>
      <c r="Q21" s="9">
        <v>30480</v>
      </c>
      <c r="R21" s="9">
        <v>31600</v>
      </c>
      <c r="S21" s="9">
        <v>31120</v>
      </c>
      <c r="T21" s="9">
        <v>31850</v>
      </c>
      <c r="U21" s="9">
        <v>31160</v>
      </c>
      <c r="V21" s="9">
        <v>30550</v>
      </c>
      <c r="W21" s="9">
        <v>29930</v>
      </c>
      <c r="X21" s="9">
        <v>28920</v>
      </c>
      <c r="Y21" s="9">
        <v>28640</v>
      </c>
      <c r="Z21" s="9">
        <v>29020</v>
      </c>
      <c r="AA21" s="9">
        <v>29340</v>
      </c>
      <c r="AB21" s="9">
        <v>29600</v>
      </c>
      <c r="AC21" s="9">
        <v>29870</v>
      </c>
      <c r="AD21" s="9">
        <v>30120</v>
      </c>
      <c r="AE21" s="9">
        <v>30350</v>
      </c>
      <c r="AF21" s="9">
        <v>30550</v>
      </c>
      <c r="AG21" s="9">
        <v>30710</v>
      </c>
      <c r="AH21" s="9">
        <v>30850</v>
      </c>
      <c r="AI21" s="9">
        <v>30950</v>
      </c>
      <c r="AJ21" s="9">
        <v>31010</v>
      </c>
      <c r="AK21" s="9">
        <v>31050</v>
      </c>
      <c r="AL21" s="9">
        <v>31050</v>
      </c>
      <c r="AM21" s="9">
        <v>31030</v>
      </c>
      <c r="AN21" s="9">
        <v>30980</v>
      </c>
      <c r="AO21" s="9">
        <v>30900</v>
      </c>
      <c r="AP21" s="9">
        <v>30820</v>
      </c>
      <c r="AQ21" s="9">
        <v>30740</v>
      </c>
      <c r="AR21" s="9">
        <v>30670</v>
      </c>
      <c r="AS21" s="9">
        <v>30620</v>
      </c>
      <c r="AT21" s="9">
        <v>30590</v>
      </c>
      <c r="AU21" s="9">
        <v>30580</v>
      </c>
      <c r="AV21" s="9">
        <v>30600</v>
      </c>
      <c r="AW21" s="9">
        <v>30630</v>
      </c>
      <c r="AX21" s="9">
        <v>30670</v>
      </c>
      <c r="AY21" s="9">
        <v>30710</v>
      </c>
      <c r="AZ21" s="9">
        <v>30750</v>
      </c>
      <c r="BA21" s="9">
        <v>30790</v>
      </c>
      <c r="BB21" s="9">
        <v>30820</v>
      </c>
      <c r="BC21" s="9">
        <v>30840</v>
      </c>
      <c r="BD21" s="9">
        <v>30850</v>
      </c>
      <c r="BE21" s="9">
        <v>30870</v>
      </c>
      <c r="BF21" s="9">
        <v>30880</v>
      </c>
      <c r="BG21" s="9">
        <v>30900</v>
      </c>
      <c r="BH21" s="9">
        <v>30920</v>
      </c>
      <c r="BI21" s="9">
        <v>30960</v>
      </c>
      <c r="BJ21" s="9">
        <v>31010</v>
      </c>
      <c r="BK21" s="9">
        <v>31070</v>
      </c>
      <c r="BL21" s="9">
        <v>31140</v>
      </c>
      <c r="BM21" s="9">
        <v>31210</v>
      </c>
      <c r="BN21" s="9">
        <v>31280</v>
      </c>
      <c r="BO21" s="9">
        <v>31340</v>
      </c>
    </row>
    <row r="22" spans="3:67" x14ac:dyDescent="0.2">
      <c r="C22" s="3">
        <v>12</v>
      </c>
      <c r="E22" s="9">
        <v>29990</v>
      </c>
      <c r="F22" s="9">
        <v>30090</v>
      </c>
      <c r="G22" s="9">
        <v>29510</v>
      </c>
      <c r="H22" s="9">
        <v>29370</v>
      </c>
      <c r="I22" s="9">
        <v>29520</v>
      </c>
      <c r="J22" s="9">
        <v>28870</v>
      </c>
      <c r="K22" s="9">
        <v>29910</v>
      </c>
      <c r="L22" s="9">
        <v>29480</v>
      </c>
      <c r="M22" s="9">
        <v>28340</v>
      </c>
      <c r="N22" s="9">
        <v>28220</v>
      </c>
      <c r="O22" s="9">
        <v>28860</v>
      </c>
      <c r="P22" s="9">
        <v>28620</v>
      </c>
      <c r="Q22" s="9">
        <v>29290</v>
      </c>
      <c r="R22" s="9">
        <v>30490</v>
      </c>
      <c r="S22" s="9">
        <v>31610</v>
      </c>
      <c r="T22" s="9">
        <v>31130</v>
      </c>
      <c r="U22" s="9">
        <v>31860</v>
      </c>
      <c r="V22" s="9">
        <v>31170</v>
      </c>
      <c r="W22" s="9">
        <v>30560</v>
      </c>
      <c r="X22" s="9">
        <v>29940</v>
      </c>
      <c r="Y22" s="9">
        <v>28930</v>
      </c>
      <c r="Z22" s="9">
        <v>28650</v>
      </c>
      <c r="AA22" s="9">
        <v>29030</v>
      </c>
      <c r="AB22" s="9">
        <v>29350</v>
      </c>
      <c r="AC22" s="9">
        <v>29620</v>
      </c>
      <c r="AD22" s="9">
        <v>29880</v>
      </c>
      <c r="AE22" s="9">
        <v>30140</v>
      </c>
      <c r="AF22" s="9">
        <v>30360</v>
      </c>
      <c r="AG22" s="9">
        <v>30560</v>
      </c>
      <c r="AH22" s="9">
        <v>30720</v>
      </c>
      <c r="AI22" s="9">
        <v>30860</v>
      </c>
      <c r="AJ22" s="9">
        <v>30960</v>
      </c>
      <c r="AK22" s="9">
        <v>31020</v>
      </c>
      <c r="AL22" s="9">
        <v>31060</v>
      </c>
      <c r="AM22" s="9">
        <v>31070</v>
      </c>
      <c r="AN22" s="9">
        <v>31040</v>
      </c>
      <c r="AO22" s="9">
        <v>30990</v>
      </c>
      <c r="AP22" s="9">
        <v>30910</v>
      </c>
      <c r="AQ22" s="9">
        <v>30830</v>
      </c>
      <c r="AR22" s="9">
        <v>30750</v>
      </c>
      <c r="AS22" s="9">
        <v>30680</v>
      </c>
      <c r="AT22" s="9">
        <v>30630</v>
      </c>
      <c r="AU22" s="9">
        <v>30600</v>
      </c>
      <c r="AV22" s="9">
        <v>30600</v>
      </c>
      <c r="AW22" s="9">
        <v>30610</v>
      </c>
      <c r="AX22" s="9">
        <v>30640</v>
      </c>
      <c r="AY22" s="9">
        <v>30680</v>
      </c>
      <c r="AZ22" s="9">
        <v>30730</v>
      </c>
      <c r="BA22" s="9">
        <v>30770</v>
      </c>
      <c r="BB22" s="9">
        <v>30800</v>
      </c>
      <c r="BC22" s="9">
        <v>30830</v>
      </c>
      <c r="BD22" s="9">
        <v>30850</v>
      </c>
      <c r="BE22" s="9">
        <v>30870</v>
      </c>
      <c r="BF22" s="9">
        <v>30880</v>
      </c>
      <c r="BG22" s="9">
        <v>30890</v>
      </c>
      <c r="BH22" s="9">
        <v>30910</v>
      </c>
      <c r="BI22" s="9">
        <v>30940</v>
      </c>
      <c r="BJ22" s="9">
        <v>30970</v>
      </c>
      <c r="BK22" s="9">
        <v>31020</v>
      </c>
      <c r="BL22" s="9">
        <v>31080</v>
      </c>
      <c r="BM22" s="9">
        <v>31150</v>
      </c>
      <c r="BN22" s="9">
        <v>31220</v>
      </c>
      <c r="BO22" s="9">
        <v>31290</v>
      </c>
    </row>
    <row r="23" spans="3:67" x14ac:dyDescent="0.2">
      <c r="C23" s="3">
        <v>13</v>
      </c>
      <c r="E23" s="9">
        <v>30750</v>
      </c>
      <c r="F23" s="9">
        <v>30090</v>
      </c>
      <c r="G23" s="9">
        <v>30120</v>
      </c>
      <c r="H23" s="9">
        <v>29630</v>
      </c>
      <c r="I23" s="9">
        <v>29590</v>
      </c>
      <c r="J23" s="9">
        <v>29630</v>
      </c>
      <c r="K23" s="9">
        <v>28910</v>
      </c>
      <c r="L23" s="9">
        <v>29930</v>
      </c>
      <c r="M23" s="9">
        <v>29550</v>
      </c>
      <c r="N23" s="9">
        <v>28560</v>
      </c>
      <c r="O23" s="9">
        <v>28330</v>
      </c>
      <c r="P23" s="9">
        <v>28860</v>
      </c>
      <c r="Q23" s="9">
        <v>28620</v>
      </c>
      <c r="R23" s="9">
        <v>29290</v>
      </c>
      <c r="S23" s="9">
        <v>30490</v>
      </c>
      <c r="T23" s="9">
        <v>31610</v>
      </c>
      <c r="U23" s="9">
        <v>31130</v>
      </c>
      <c r="V23" s="9">
        <v>31860</v>
      </c>
      <c r="W23" s="9">
        <v>31170</v>
      </c>
      <c r="X23" s="9">
        <v>30570</v>
      </c>
      <c r="Y23" s="9">
        <v>29940</v>
      </c>
      <c r="Z23" s="9">
        <v>28930</v>
      </c>
      <c r="AA23" s="9">
        <v>28650</v>
      </c>
      <c r="AB23" s="9">
        <v>29030</v>
      </c>
      <c r="AC23" s="9">
        <v>29350</v>
      </c>
      <c r="AD23" s="9">
        <v>29620</v>
      </c>
      <c r="AE23" s="9">
        <v>29880</v>
      </c>
      <c r="AF23" s="9">
        <v>30140</v>
      </c>
      <c r="AG23" s="9">
        <v>30360</v>
      </c>
      <c r="AH23" s="9">
        <v>30560</v>
      </c>
      <c r="AI23" s="9">
        <v>30730</v>
      </c>
      <c r="AJ23" s="9">
        <v>30860</v>
      </c>
      <c r="AK23" s="9">
        <v>30960</v>
      </c>
      <c r="AL23" s="9">
        <v>31030</v>
      </c>
      <c r="AM23" s="9">
        <v>31060</v>
      </c>
      <c r="AN23" s="9">
        <v>31070</v>
      </c>
      <c r="AO23" s="9">
        <v>31040</v>
      </c>
      <c r="AP23" s="9">
        <v>30990</v>
      </c>
      <c r="AQ23" s="9">
        <v>30920</v>
      </c>
      <c r="AR23" s="9">
        <v>30840</v>
      </c>
      <c r="AS23" s="9">
        <v>30750</v>
      </c>
      <c r="AT23" s="9">
        <v>30680</v>
      </c>
      <c r="AU23" s="9">
        <v>30630</v>
      </c>
      <c r="AV23" s="9">
        <v>30600</v>
      </c>
      <c r="AW23" s="9">
        <v>30600</v>
      </c>
      <c r="AX23" s="9">
        <v>30610</v>
      </c>
      <c r="AY23" s="9">
        <v>30640</v>
      </c>
      <c r="AZ23" s="9">
        <v>30680</v>
      </c>
      <c r="BA23" s="9">
        <v>30730</v>
      </c>
      <c r="BB23" s="9">
        <v>30770</v>
      </c>
      <c r="BC23" s="9">
        <v>30800</v>
      </c>
      <c r="BD23" s="9">
        <v>30830</v>
      </c>
      <c r="BE23" s="9">
        <v>30850</v>
      </c>
      <c r="BF23" s="9">
        <v>30870</v>
      </c>
      <c r="BG23" s="9">
        <v>30880</v>
      </c>
      <c r="BH23" s="9">
        <v>30890</v>
      </c>
      <c r="BI23" s="9">
        <v>30910</v>
      </c>
      <c r="BJ23" s="9">
        <v>30940</v>
      </c>
      <c r="BK23" s="9">
        <v>30980</v>
      </c>
      <c r="BL23" s="9">
        <v>31030</v>
      </c>
      <c r="BM23" s="9">
        <v>31090</v>
      </c>
      <c r="BN23" s="9">
        <v>31150</v>
      </c>
      <c r="BO23" s="9">
        <v>31220</v>
      </c>
    </row>
    <row r="24" spans="3:67" x14ac:dyDescent="0.2">
      <c r="C24" s="3">
        <v>14</v>
      </c>
      <c r="E24" s="9">
        <v>30960</v>
      </c>
      <c r="F24" s="9">
        <v>30780</v>
      </c>
      <c r="G24" s="9">
        <v>30110</v>
      </c>
      <c r="H24" s="9">
        <v>30170</v>
      </c>
      <c r="I24" s="9">
        <v>29830</v>
      </c>
      <c r="J24" s="9">
        <v>29790</v>
      </c>
      <c r="K24" s="9">
        <v>29700</v>
      </c>
      <c r="L24" s="9">
        <v>29000</v>
      </c>
      <c r="M24" s="9">
        <v>30010</v>
      </c>
      <c r="N24" s="9">
        <v>29750</v>
      </c>
      <c r="O24" s="9">
        <v>28670</v>
      </c>
      <c r="P24" s="9">
        <v>28340</v>
      </c>
      <c r="Q24" s="9">
        <v>28870</v>
      </c>
      <c r="R24" s="9">
        <v>28640</v>
      </c>
      <c r="S24" s="9">
        <v>29310</v>
      </c>
      <c r="T24" s="9">
        <v>30510</v>
      </c>
      <c r="U24" s="9">
        <v>31630</v>
      </c>
      <c r="V24" s="9">
        <v>31150</v>
      </c>
      <c r="W24" s="9">
        <v>31880</v>
      </c>
      <c r="X24" s="9">
        <v>31190</v>
      </c>
      <c r="Y24" s="9">
        <v>30580</v>
      </c>
      <c r="Z24" s="9">
        <v>29960</v>
      </c>
      <c r="AA24" s="9">
        <v>28950</v>
      </c>
      <c r="AB24" s="9">
        <v>28670</v>
      </c>
      <c r="AC24" s="9">
        <v>29050</v>
      </c>
      <c r="AD24" s="9">
        <v>29370</v>
      </c>
      <c r="AE24" s="9">
        <v>29640</v>
      </c>
      <c r="AF24" s="9">
        <v>29900</v>
      </c>
      <c r="AG24" s="9">
        <v>30160</v>
      </c>
      <c r="AH24" s="9">
        <v>30380</v>
      </c>
      <c r="AI24" s="9">
        <v>30580</v>
      </c>
      <c r="AJ24" s="9">
        <v>30750</v>
      </c>
      <c r="AK24" s="9">
        <v>30880</v>
      </c>
      <c r="AL24" s="9">
        <v>30980</v>
      </c>
      <c r="AM24" s="9">
        <v>31050</v>
      </c>
      <c r="AN24" s="9">
        <v>31080</v>
      </c>
      <c r="AO24" s="9">
        <v>31090</v>
      </c>
      <c r="AP24" s="9">
        <v>31060</v>
      </c>
      <c r="AQ24" s="9">
        <v>31010</v>
      </c>
      <c r="AR24" s="9">
        <v>30940</v>
      </c>
      <c r="AS24" s="9">
        <v>30860</v>
      </c>
      <c r="AT24" s="9">
        <v>30770</v>
      </c>
      <c r="AU24" s="9">
        <v>30700</v>
      </c>
      <c r="AV24" s="9">
        <v>30650</v>
      </c>
      <c r="AW24" s="9">
        <v>30620</v>
      </c>
      <c r="AX24" s="9">
        <v>30620</v>
      </c>
      <c r="AY24" s="9">
        <v>30630</v>
      </c>
      <c r="AZ24" s="9">
        <v>30670</v>
      </c>
      <c r="BA24" s="9">
        <v>30710</v>
      </c>
      <c r="BB24" s="9">
        <v>30750</v>
      </c>
      <c r="BC24" s="9">
        <v>30790</v>
      </c>
      <c r="BD24" s="9">
        <v>30830</v>
      </c>
      <c r="BE24" s="9">
        <v>30850</v>
      </c>
      <c r="BF24" s="9">
        <v>30880</v>
      </c>
      <c r="BG24" s="9">
        <v>30890</v>
      </c>
      <c r="BH24" s="9">
        <v>30900</v>
      </c>
      <c r="BI24" s="9">
        <v>30910</v>
      </c>
      <c r="BJ24" s="9">
        <v>30930</v>
      </c>
      <c r="BK24" s="9">
        <v>30960</v>
      </c>
      <c r="BL24" s="9">
        <v>31000</v>
      </c>
      <c r="BM24" s="9">
        <v>31050</v>
      </c>
      <c r="BN24" s="9">
        <v>31110</v>
      </c>
      <c r="BO24" s="9">
        <v>31180</v>
      </c>
    </row>
    <row r="25" spans="3:67" x14ac:dyDescent="0.2">
      <c r="C25" s="3">
        <v>15</v>
      </c>
      <c r="E25" s="9">
        <v>32030</v>
      </c>
      <c r="F25" s="9">
        <v>31100</v>
      </c>
      <c r="G25" s="9">
        <v>30870</v>
      </c>
      <c r="H25" s="9">
        <v>30230</v>
      </c>
      <c r="I25" s="9">
        <v>30410</v>
      </c>
      <c r="J25" s="9">
        <v>29940</v>
      </c>
      <c r="K25" s="9">
        <v>30020</v>
      </c>
      <c r="L25" s="9">
        <v>29930</v>
      </c>
      <c r="M25" s="9">
        <v>29180</v>
      </c>
      <c r="N25" s="9">
        <v>30300</v>
      </c>
      <c r="O25" s="9">
        <v>29970</v>
      </c>
      <c r="P25" s="9">
        <v>28790</v>
      </c>
      <c r="Q25" s="9">
        <v>28470</v>
      </c>
      <c r="R25" s="9">
        <v>29000</v>
      </c>
      <c r="S25" s="9">
        <v>28770</v>
      </c>
      <c r="T25" s="9">
        <v>29430</v>
      </c>
      <c r="U25" s="9">
        <v>30630</v>
      </c>
      <c r="V25" s="9">
        <v>31760</v>
      </c>
      <c r="W25" s="9">
        <v>31280</v>
      </c>
      <c r="X25" s="9">
        <v>32010</v>
      </c>
      <c r="Y25" s="9">
        <v>31310</v>
      </c>
      <c r="Z25" s="9">
        <v>30710</v>
      </c>
      <c r="AA25" s="9">
        <v>30080</v>
      </c>
      <c r="AB25" s="9">
        <v>29080</v>
      </c>
      <c r="AC25" s="9">
        <v>28800</v>
      </c>
      <c r="AD25" s="9">
        <v>29180</v>
      </c>
      <c r="AE25" s="9">
        <v>29500</v>
      </c>
      <c r="AF25" s="9">
        <v>29770</v>
      </c>
      <c r="AG25" s="9">
        <v>30030</v>
      </c>
      <c r="AH25" s="9">
        <v>30290</v>
      </c>
      <c r="AI25" s="9">
        <v>30510</v>
      </c>
      <c r="AJ25" s="9">
        <v>30710</v>
      </c>
      <c r="AK25" s="9">
        <v>30870</v>
      </c>
      <c r="AL25" s="9">
        <v>31010</v>
      </c>
      <c r="AM25" s="9">
        <v>31110</v>
      </c>
      <c r="AN25" s="9">
        <v>31180</v>
      </c>
      <c r="AO25" s="9">
        <v>31210</v>
      </c>
      <c r="AP25" s="9">
        <v>31220</v>
      </c>
      <c r="AQ25" s="9">
        <v>31190</v>
      </c>
      <c r="AR25" s="9">
        <v>31140</v>
      </c>
      <c r="AS25" s="9">
        <v>31070</v>
      </c>
      <c r="AT25" s="9">
        <v>30980</v>
      </c>
      <c r="AU25" s="9">
        <v>30900</v>
      </c>
      <c r="AV25" s="9">
        <v>30830</v>
      </c>
      <c r="AW25" s="9">
        <v>30780</v>
      </c>
      <c r="AX25" s="9">
        <v>30750</v>
      </c>
      <c r="AY25" s="9">
        <v>30750</v>
      </c>
      <c r="AZ25" s="9">
        <v>30760</v>
      </c>
      <c r="BA25" s="9">
        <v>30800</v>
      </c>
      <c r="BB25" s="9">
        <v>30840</v>
      </c>
      <c r="BC25" s="9">
        <v>30880</v>
      </c>
      <c r="BD25" s="9">
        <v>30920</v>
      </c>
      <c r="BE25" s="9">
        <v>30960</v>
      </c>
      <c r="BF25" s="9">
        <v>30980</v>
      </c>
      <c r="BG25" s="9">
        <v>31010</v>
      </c>
      <c r="BH25" s="9">
        <v>31020</v>
      </c>
      <c r="BI25" s="9">
        <v>31030</v>
      </c>
      <c r="BJ25" s="9">
        <v>31040</v>
      </c>
      <c r="BK25" s="9">
        <v>31060</v>
      </c>
      <c r="BL25" s="9">
        <v>31090</v>
      </c>
      <c r="BM25" s="9">
        <v>31130</v>
      </c>
      <c r="BN25" s="9">
        <v>31180</v>
      </c>
      <c r="BO25" s="9">
        <v>31240</v>
      </c>
    </row>
    <row r="26" spans="3:67" x14ac:dyDescent="0.2">
      <c r="C26" s="3">
        <v>16</v>
      </c>
      <c r="E26" s="9">
        <v>31990</v>
      </c>
      <c r="F26" s="9">
        <v>32170</v>
      </c>
      <c r="G26" s="9">
        <v>31150</v>
      </c>
      <c r="H26" s="9">
        <v>31080</v>
      </c>
      <c r="I26" s="9">
        <v>30550</v>
      </c>
      <c r="J26" s="9">
        <v>30730</v>
      </c>
      <c r="K26" s="9">
        <v>30160</v>
      </c>
      <c r="L26" s="9">
        <v>30350</v>
      </c>
      <c r="M26" s="9">
        <v>30280</v>
      </c>
      <c r="N26" s="9">
        <v>29650</v>
      </c>
      <c r="O26" s="9">
        <v>30670</v>
      </c>
      <c r="P26" s="9">
        <v>30240</v>
      </c>
      <c r="Q26" s="9">
        <v>29070</v>
      </c>
      <c r="R26" s="9">
        <v>28740</v>
      </c>
      <c r="S26" s="9">
        <v>29270</v>
      </c>
      <c r="T26" s="9">
        <v>29040</v>
      </c>
      <c r="U26" s="9">
        <v>29710</v>
      </c>
      <c r="V26" s="9">
        <v>30910</v>
      </c>
      <c r="W26" s="9">
        <v>32030</v>
      </c>
      <c r="X26" s="9">
        <v>31550</v>
      </c>
      <c r="Y26" s="9">
        <v>32280</v>
      </c>
      <c r="Z26" s="9">
        <v>31590</v>
      </c>
      <c r="AA26" s="9">
        <v>30980</v>
      </c>
      <c r="AB26" s="9">
        <v>30360</v>
      </c>
      <c r="AC26" s="9">
        <v>29350</v>
      </c>
      <c r="AD26" s="9">
        <v>29070</v>
      </c>
      <c r="AE26" s="9">
        <v>29450</v>
      </c>
      <c r="AF26" s="9">
        <v>29770</v>
      </c>
      <c r="AG26" s="9">
        <v>30040</v>
      </c>
      <c r="AH26" s="9">
        <v>30300</v>
      </c>
      <c r="AI26" s="9">
        <v>30560</v>
      </c>
      <c r="AJ26" s="9">
        <v>30790</v>
      </c>
      <c r="AK26" s="9">
        <v>30980</v>
      </c>
      <c r="AL26" s="9">
        <v>31150</v>
      </c>
      <c r="AM26" s="9">
        <v>31280</v>
      </c>
      <c r="AN26" s="9">
        <v>31380</v>
      </c>
      <c r="AO26" s="9">
        <v>31450</v>
      </c>
      <c r="AP26" s="9">
        <v>31490</v>
      </c>
      <c r="AQ26" s="9">
        <v>31490</v>
      </c>
      <c r="AR26" s="9">
        <v>31470</v>
      </c>
      <c r="AS26" s="9">
        <v>31410</v>
      </c>
      <c r="AT26" s="9">
        <v>31340</v>
      </c>
      <c r="AU26" s="9">
        <v>31260</v>
      </c>
      <c r="AV26" s="9">
        <v>31180</v>
      </c>
      <c r="AW26" s="9">
        <v>31110</v>
      </c>
      <c r="AX26" s="9">
        <v>31060</v>
      </c>
      <c r="AY26" s="9">
        <v>31030</v>
      </c>
      <c r="AZ26" s="9">
        <v>31020</v>
      </c>
      <c r="BA26" s="9">
        <v>31040</v>
      </c>
      <c r="BB26" s="9">
        <v>31070</v>
      </c>
      <c r="BC26" s="9">
        <v>31110</v>
      </c>
      <c r="BD26" s="9">
        <v>31150</v>
      </c>
      <c r="BE26" s="9">
        <v>31200</v>
      </c>
      <c r="BF26" s="9">
        <v>31230</v>
      </c>
      <c r="BG26" s="9">
        <v>31260</v>
      </c>
      <c r="BH26" s="9">
        <v>31280</v>
      </c>
      <c r="BI26" s="9">
        <v>31300</v>
      </c>
      <c r="BJ26" s="9">
        <v>31310</v>
      </c>
      <c r="BK26" s="9">
        <v>31320</v>
      </c>
      <c r="BL26" s="9">
        <v>31340</v>
      </c>
      <c r="BM26" s="9">
        <v>31370</v>
      </c>
      <c r="BN26" s="9">
        <v>31410</v>
      </c>
      <c r="BO26" s="9">
        <v>31460</v>
      </c>
    </row>
    <row r="27" spans="3:67" x14ac:dyDescent="0.2">
      <c r="C27" s="3">
        <v>17</v>
      </c>
      <c r="E27" s="9">
        <v>30880</v>
      </c>
      <c r="F27" s="9">
        <v>32080</v>
      </c>
      <c r="G27" s="9">
        <v>32330</v>
      </c>
      <c r="H27" s="9">
        <v>31430</v>
      </c>
      <c r="I27" s="9">
        <v>31420</v>
      </c>
      <c r="J27" s="9">
        <v>30830</v>
      </c>
      <c r="K27" s="9">
        <v>30890</v>
      </c>
      <c r="L27" s="9">
        <v>30440</v>
      </c>
      <c r="M27" s="9">
        <v>30720</v>
      </c>
      <c r="N27" s="9">
        <v>30720</v>
      </c>
      <c r="O27" s="9">
        <v>29970</v>
      </c>
      <c r="P27" s="9">
        <v>30870</v>
      </c>
      <c r="Q27" s="9">
        <v>30440</v>
      </c>
      <c r="R27" s="9">
        <v>29270</v>
      </c>
      <c r="S27" s="9">
        <v>28950</v>
      </c>
      <c r="T27" s="9">
        <v>29480</v>
      </c>
      <c r="U27" s="9">
        <v>29240</v>
      </c>
      <c r="V27" s="9">
        <v>29910</v>
      </c>
      <c r="W27" s="9">
        <v>31110</v>
      </c>
      <c r="X27" s="9">
        <v>32230</v>
      </c>
      <c r="Y27" s="9">
        <v>31750</v>
      </c>
      <c r="Z27" s="9">
        <v>32480</v>
      </c>
      <c r="AA27" s="9">
        <v>31790</v>
      </c>
      <c r="AB27" s="9">
        <v>31190</v>
      </c>
      <c r="AC27" s="9">
        <v>30560</v>
      </c>
      <c r="AD27" s="9">
        <v>29560</v>
      </c>
      <c r="AE27" s="9">
        <v>29280</v>
      </c>
      <c r="AF27" s="9">
        <v>29660</v>
      </c>
      <c r="AG27" s="9">
        <v>29970</v>
      </c>
      <c r="AH27" s="9">
        <v>30240</v>
      </c>
      <c r="AI27" s="9">
        <v>30510</v>
      </c>
      <c r="AJ27" s="9">
        <v>30760</v>
      </c>
      <c r="AK27" s="9">
        <v>30990</v>
      </c>
      <c r="AL27" s="9">
        <v>31190</v>
      </c>
      <c r="AM27" s="9">
        <v>31350</v>
      </c>
      <c r="AN27" s="9">
        <v>31490</v>
      </c>
      <c r="AO27" s="9">
        <v>31590</v>
      </c>
      <c r="AP27" s="9">
        <v>31650</v>
      </c>
      <c r="AQ27" s="9">
        <v>31690</v>
      </c>
      <c r="AR27" s="9">
        <v>31700</v>
      </c>
      <c r="AS27" s="9">
        <v>31670</v>
      </c>
      <c r="AT27" s="9">
        <v>31620</v>
      </c>
      <c r="AU27" s="9">
        <v>31550</v>
      </c>
      <c r="AV27" s="9">
        <v>31470</v>
      </c>
      <c r="AW27" s="9">
        <v>31380</v>
      </c>
      <c r="AX27" s="9">
        <v>31310</v>
      </c>
      <c r="AY27" s="9">
        <v>31260</v>
      </c>
      <c r="AZ27" s="9">
        <v>31230</v>
      </c>
      <c r="BA27" s="9">
        <v>31230</v>
      </c>
      <c r="BB27" s="9">
        <v>31250</v>
      </c>
      <c r="BC27" s="9">
        <v>31280</v>
      </c>
      <c r="BD27" s="9">
        <v>31320</v>
      </c>
      <c r="BE27" s="9">
        <v>31360</v>
      </c>
      <c r="BF27" s="9">
        <v>31400</v>
      </c>
      <c r="BG27" s="9">
        <v>31440</v>
      </c>
      <c r="BH27" s="9">
        <v>31470</v>
      </c>
      <c r="BI27" s="9">
        <v>31490</v>
      </c>
      <c r="BJ27" s="9">
        <v>31500</v>
      </c>
      <c r="BK27" s="9">
        <v>31510</v>
      </c>
      <c r="BL27" s="9">
        <v>31530</v>
      </c>
      <c r="BM27" s="9">
        <v>31550</v>
      </c>
      <c r="BN27" s="9">
        <v>31570</v>
      </c>
      <c r="BO27" s="9">
        <v>31610</v>
      </c>
    </row>
    <row r="28" spans="3:67" x14ac:dyDescent="0.2">
      <c r="C28" s="3">
        <v>18</v>
      </c>
      <c r="E28" s="9">
        <v>30180</v>
      </c>
      <c r="F28" s="9">
        <v>30570</v>
      </c>
      <c r="G28" s="9">
        <v>31740</v>
      </c>
      <c r="H28" s="9">
        <v>32180</v>
      </c>
      <c r="I28" s="9">
        <v>31390</v>
      </c>
      <c r="J28" s="9">
        <v>31250</v>
      </c>
      <c r="K28" s="9">
        <v>30590</v>
      </c>
      <c r="L28" s="9">
        <v>30770</v>
      </c>
      <c r="M28" s="9">
        <v>30600</v>
      </c>
      <c r="N28" s="9">
        <v>31210</v>
      </c>
      <c r="O28" s="9">
        <v>31020</v>
      </c>
      <c r="P28" s="9">
        <v>30070</v>
      </c>
      <c r="Q28" s="9">
        <v>30970</v>
      </c>
      <c r="R28" s="9">
        <v>30540</v>
      </c>
      <c r="S28" s="9">
        <v>29370</v>
      </c>
      <c r="T28" s="9">
        <v>29050</v>
      </c>
      <c r="U28" s="9">
        <v>29580</v>
      </c>
      <c r="V28" s="9">
        <v>29340</v>
      </c>
      <c r="W28" s="9">
        <v>30010</v>
      </c>
      <c r="X28" s="9">
        <v>31210</v>
      </c>
      <c r="Y28" s="9">
        <v>32330</v>
      </c>
      <c r="Z28" s="9">
        <v>31850</v>
      </c>
      <c r="AA28" s="9">
        <v>32590</v>
      </c>
      <c r="AB28" s="9">
        <v>31890</v>
      </c>
      <c r="AC28" s="9">
        <v>31290</v>
      </c>
      <c r="AD28" s="9">
        <v>30660</v>
      </c>
      <c r="AE28" s="9">
        <v>29660</v>
      </c>
      <c r="AF28" s="9">
        <v>29380</v>
      </c>
      <c r="AG28" s="9">
        <v>29760</v>
      </c>
      <c r="AH28" s="9">
        <v>30080</v>
      </c>
      <c r="AI28" s="9">
        <v>30350</v>
      </c>
      <c r="AJ28" s="9">
        <v>30610</v>
      </c>
      <c r="AK28" s="9">
        <v>30870</v>
      </c>
      <c r="AL28" s="9">
        <v>31090</v>
      </c>
      <c r="AM28" s="9">
        <v>31290</v>
      </c>
      <c r="AN28" s="9">
        <v>31460</v>
      </c>
      <c r="AO28" s="9">
        <v>31590</v>
      </c>
      <c r="AP28" s="9">
        <v>31690</v>
      </c>
      <c r="AQ28" s="9">
        <v>31760</v>
      </c>
      <c r="AR28" s="9">
        <v>31800</v>
      </c>
      <c r="AS28" s="9">
        <v>31800</v>
      </c>
      <c r="AT28" s="9">
        <v>31780</v>
      </c>
      <c r="AU28" s="9">
        <v>31720</v>
      </c>
      <c r="AV28" s="9">
        <v>31650</v>
      </c>
      <c r="AW28" s="9">
        <v>31570</v>
      </c>
      <c r="AX28" s="9">
        <v>31490</v>
      </c>
      <c r="AY28" s="9">
        <v>31420</v>
      </c>
      <c r="AZ28" s="9">
        <v>31370</v>
      </c>
      <c r="BA28" s="9">
        <v>31340</v>
      </c>
      <c r="BB28" s="9">
        <v>31340</v>
      </c>
      <c r="BC28" s="9">
        <v>31350</v>
      </c>
      <c r="BD28" s="9">
        <v>31380</v>
      </c>
      <c r="BE28" s="9">
        <v>31420</v>
      </c>
      <c r="BF28" s="9">
        <v>31470</v>
      </c>
      <c r="BG28" s="9">
        <v>31510</v>
      </c>
      <c r="BH28" s="9">
        <v>31540</v>
      </c>
      <c r="BI28" s="9">
        <v>31570</v>
      </c>
      <c r="BJ28" s="9">
        <v>31590</v>
      </c>
      <c r="BK28" s="9">
        <v>31610</v>
      </c>
      <c r="BL28" s="9">
        <v>31620</v>
      </c>
      <c r="BM28" s="9">
        <v>31630</v>
      </c>
      <c r="BN28" s="9">
        <v>31650</v>
      </c>
      <c r="BO28" s="9">
        <v>31680</v>
      </c>
    </row>
    <row r="29" spans="3:67" x14ac:dyDescent="0.2">
      <c r="C29" s="3">
        <v>19</v>
      </c>
      <c r="E29" s="9">
        <v>29070</v>
      </c>
      <c r="F29" s="9">
        <v>30050</v>
      </c>
      <c r="G29" s="9">
        <v>30440</v>
      </c>
      <c r="H29" s="9">
        <v>31800</v>
      </c>
      <c r="I29" s="9">
        <v>32490</v>
      </c>
      <c r="J29" s="9">
        <v>31470</v>
      </c>
      <c r="K29" s="9">
        <v>31340</v>
      </c>
      <c r="L29" s="9">
        <v>30840</v>
      </c>
      <c r="M29" s="9">
        <v>31350</v>
      </c>
      <c r="N29" s="9">
        <v>31340</v>
      </c>
      <c r="O29" s="9">
        <v>31690</v>
      </c>
      <c r="P29" s="9">
        <v>31230</v>
      </c>
      <c r="Q29" s="9">
        <v>30280</v>
      </c>
      <c r="R29" s="9">
        <v>31180</v>
      </c>
      <c r="S29" s="9">
        <v>30750</v>
      </c>
      <c r="T29" s="9">
        <v>29580</v>
      </c>
      <c r="U29" s="9">
        <v>29260</v>
      </c>
      <c r="V29" s="9">
        <v>29790</v>
      </c>
      <c r="W29" s="9">
        <v>29550</v>
      </c>
      <c r="X29" s="9">
        <v>30220</v>
      </c>
      <c r="Y29" s="9">
        <v>31420</v>
      </c>
      <c r="Z29" s="9">
        <v>32540</v>
      </c>
      <c r="AA29" s="9">
        <v>32060</v>
      </c>
      <c r="AB29" s="9">
        <v>32800</v>
      </c>
      <c r="AC29" s="9">
        <v>32100</v>
      </c>
      <c r="AD29" s="9">
        <v>31500</v>
      </c>
      <c r="AE29" s="9">
        <v>30880</v>
      </c>
      <c r="AF29" s="9">
        <v>29870</v>
      </c>
      <c r="AG29" s="9">
        <v>29590</v>
      </c>
      <c r="AH29" s="9">
        <v>29970</v>
      </c>
      <c r="AI29" s="9">
        <v>30290</v>
      </c>
      <c r="AJ29" s="9">
        <v>30560</v>
      </c>
      <c r="AK29" s="9">
        <v>30830</v>
      </c>
      <c r="AL29" s="9">
        <v>31080</v>
      </c>
      <c r="AM29" s="9">
        <v>31310</v>
      </c>
      <c r="AN29" s="9">
        <v>31500</v>
      </c>
      <c r="AO29" s="9">
        <v>31670</v>
      </c>
      <c r="AP29" s="9">
        <v>31800</v>
      </c>
      <c r="AQ29" s="9">
        <v>31900</v>
      </c>
      <c r="AR29" s="9">
        <v>31970</v>
      </c>
      <c r="AS29" s="9">
        <v>32010</v>
      </c>
      <c r="AT29" s="9">
        <v>32010</v>
      </c>
      <c r="AU29" s="9">
        <v>31990</v>
      </c>
      <c r="AV29" s="9">
        <v>31940</v>
      </c>
      <c r="AW29" s="9">
        <v>31870</v>
      </c>
      <c r="AX29" s="9">
        <v>31780</v>
      </c>
      <c r="AY29" s="9">
        <v>31700</v>
      </c>
      <c r="AZ29" s="9">
        <v>31630</v>
      </c>
      <c r="BA29" s="9">
        <v>31580</v>
      </c>
      <c r="BB29" s="9">
        <v>31550</v>
      </c>
      <c r="BC29" s="9">
        <v>31550</v>
      </c>
      <c r="BD29" s="9">
        <v>31570</v>
      </c>
      <c r="BE29" s="9">
        <v>31600</v>
      </c>
      <c r="BF29" s="9">
        <v>31640</v>
      </c>
      <c r="BG29" s="9">
        <v>31680</v>
      </c>
      <c r="BH29" s="9">
        <v>31720</v>
      </c>
      <c r="BI29" s="9">
        <v>31760</v>
      </c>
      <c r="BJ29" s="9">
        <v>31790</v>
      </c>
      <c r="BK29" s="9">
        <v>31810</v>
      </c>
      <c r="BL29" s="9">
        <v>31820</v>
      </c>
      <c r="BM29" s="9">
        <v>31840</v>
      </c>
      <c r="BN29" s="9">
        <v>31850</v>
      </c>
      <c r="BO29" s="9">
        <v>31870</v>
      </c>
    </row>
    <row r="30" spans="3:67" x14ac:dyDescent="0.2">
      <c r="C30" s="3">
        <v>20</v>
      </c>
      <c r="E30" s="9">
        <v>29720</v>
      </c>
      <c r="F30" s="9">
        <v>29030</v>
      </c>
      <c r="G30" s="9">
        <v>30070</v>
      </c>
      <c r="H30" s="9">
        <v>30550</v>
      </c>
      <c r="I30" s="9">
        <v>32200</v>
      </c>
      <c r="J30" s="9">
        <v>32780</v>
      </c>
      <c r="K30" s="9">
        <v>31580</v>
      </c>
      <c r="L30" s="9">
        <v>31590</v>
      </c>
      <c r="M30" s="9">
        <v>31450</v>
      </c>
      <c r="N30" s="9">
        <v>32120</v>
      </c>
      <c r="O30" s="9">
        <v>31840</v>
      </c>
      <c r="P30" s="9">
        <v>31920</v>
      </c>
      <c r="Q30" s="9">
        <v>31460</v>
      </c>
      <c r="R30" s="9">
        <v>30520</v>
      </c>
      <c r="S30" s="9">
        <v>31410</v>
      </c>
      <c r="T30" s="9">
        <v>30980</v>
      </c>
      <c r="U30" s="9">
        <v>29810</v>
      </c>
      <c r="V30" s="9">
        <v>29490</v>
      </c>
      <c r="W30" s="9">
        <v>30020</v>
      </c>
      <c r="X30" s="9">
        <v>29790</v>
      </c>
      <c r="Y30" s="9">
        <v>30460</v>
      </c>
      <c r="Z30" s="9">
        <v>31650</v>
      </c>
      <c r="AA30" s="9">
        <v>32780</v>
      </c>
      <c r="AB30" s="9">
        <v>32300</v>
      </c>
      <c r="AC30" s="9">
        <v>33030</v>
      </c>
      <c r="AD30" s="9">
        <v>32340</v>
      </c>
      <c r="AE30" s="9">
        <v>31740</v>
      </c>
      <c r="AF30" s="9">
        <v>31110</v>
      </c>
      <c r="AG30" s="9">
        <v>30110</v>
      </c>
      <c r="AH30" s="9">
        <v>29830</v>
      </c>
      <c r="AI30" s="9">
        <v>30210</v>
      </c>
      <c r="AJ30" s="9">
        <v>30530</v>
      </c>
      <c r="AK30" s="9">
        <v>30800</v>
      </c>
      <c r="AL30" s="9">
        <v>31060</v>
      </c>
      <c r="AM30" s="9">
        <v>31320</v>
      </c>
      <c r="AN30" s="9">
        <v>31540</v>
      </c>
      <c r="AO30" s="9">
        <v>31740</v>
      </c>
      <c r="AP30" s="9">
        <v>31910</v>
      </c>
      <c r="AQ30" s="9">
        <v>32040</v>
      </c>
      <c r="AR30" s="9">
        <v>32140</v>
      </c>
      <c r="AS30" s="9">
        <v>32210</v>
      </c>
      <c r="AT30" s="9">
        <v>32250</v>
      </c>
      <c r="AU30" s="9">
        <v>32250</v>
      </c>
      <c r="AV30" s="9">
        <v>32230</v>
      </c>
      <c r="AW30" s="9">
        <v>32170</v>
      </c>
      <c r="AX30" s="9">
        <v>32100</v>
      </c>
      <c r="AY30" s="9">
        <v>32020</v>
      </c>
      <c r="AZ30" s="9">
        <v>31940</v>
      </c>
      <c r="BA30" s="9">
        <v>31870</v>
      </c>
      <c r="BB30" s="9">
        <v>31820</v>
      </c>
      <c r="BC30" s="9">
        <v>31790</v>
      </c>
      <c r="BD30" s="9">
        <v>31790</v>
      </c>
      <c r="BE30" s="9">
        <v>31800</v>
      </c>
      <c r="BF30" s="9">
        <v>31840</v>
      </c>
      <c r="BG30" s="9">
        <v>31880</v>
      </c>
      <c r="BH30" s="9">
        <v>31920</v>
      </c>
      <c r="BI30" s="9">
        <v>31960</v>
      </c>
      <c r="BJ30" s="9">
        <v>32000</v>
      </c>
      <c r="BK30" s="9">
        <v>32030</v>
      </c>
      <c r="BL30" s="9">
        <v>32050</v>
      </c>
      <c r="BM30" s="9">
        <v>32060</v>
      </c>
      <c r="BN30" s="9">
        <v>32080</v>
      </c>
      <c r="BO30" s="9">
        <v>32090</v>
      </c>
    </row>
    <row r="31" spans="3:67" x14ac:dyDescent="0.2">
      <c r="C31" s="3">
        <v>21</v>
      </c>
      <c r="E31" s="9">
        <v>29650</v>
      </c>
      <c r="F31" s="9">
        <v>29360</v>
      </c>
      <c r="G31" s="9">
        <v>28760</v>
      </c>
      <c r="H31" s="9">
        <v>29990</v>
      </c>
      <c r="I31" s="9">
        <v>30640</v>
      </c>
      <c r="J31" s="9">
        <v>32110</v>
      </c>
      <c r="K31" s="9">
        <v>32450</v>
      </c>
      <c r="L31" s="9">
        <v>31430</v>
      </c>
      <c r="M31" s="9">
        <v>31920</v>
      </c>
      <c r="N31" s="9">
        <v>32050</v>
      </c>
      <c r="O31" s="9">
        <v>32420</v>
      </c>
      <c r="P31" s="9">
        <v>31840</v>
      </c>
      <c r="Q31" s="9">
        <v>31920</v>
      </c>
      <c r="R31" s="9">
        <v>31460</v>
      </c>
      <c r="S31" s="9">
        <v>30520</v>
      </c>
      <c r="T31" s="9">
        <v>31420</v>
      </c>
      <c r="U31" s="9">
        <v>30980</v>
      </c>
      <c r="V31" s="9">
        <v>29820</v>
      </c>
      <c r="W31" s="9">
        <v>29490</v>
      </c>
      <c r="X31" s="9">
        <v>30020</v>
      </c>
      <c r="Y31" s="9">
        <v>29790</v>
      </c>
      <c r="Z31" s="9">
        <v>30460</v>
      </c>
      <c r="AA31" s="9">
        <v>31660</v>
      </c>
      <c r="AB31" s="9">
        <v>32780</v>
      </c>
      <c r="AC31" s="9">
        <v>32300</v>
      </c>
      <c r="AD31" s="9">
        <v>33030</v>
      </c>
      <c r="AE31" s="9">
        <v>32340</v>
      </c>
      <c r="AF31" s="9">
        <v>31740</v>
      </c>
      <c r="AG31" s="9">
        <v>31110</v>
      </c>
      <c r="AH31" s="9">
        <v>30110</v>
      </c>
      <c r="AI31" s="9">
        <v>29830</v>
      </c>
      <c r="AJ31" s="9">
        <v>30210</v>
      </c>
      <c r="AK31" s="9">
        <v>30530</v>
      </c>
      <c r="AL31" s="9">
        <v>30800</v>
      </c>
      <c r="AM31" s="9">
        <v>31070</v>
      </c>
      <c r="AN31" s="9">
        <v>31320</v>
      </c>
      <c r="AO31" s="9">
        <v>31550</v>
      </c>
      <c r="AP31" s="9">
        <v>31740</v>
      </c>
      <c r="AQ31" s="9">
        <v>31910</v>
      </c>
      <c r="AR31" s="9">
        <v>32050</v>
      </c>
      <c r="AS31" s="9">
        <v>32150</v>
      </c>
      <c r="AT31" s="9">
        <v>32210</v>
      </c>
      <c r="AU31" s="9">
        <v>32250</v>
      </c>
      <c r="AV31" s="9">
        <v>32260</v>
      </c>
      <c r="AW31" s="9">
        <v>32230</v>
      </c>
      <c r="AX31" s="9">
        <v>32180</v>
      </c>
      <c r="AY31" s="9">
        <v>32110</v>
      </c>
      <c r="AZ31" s="9">
        <v>32030</v>
      </c>
      <c r="BA31" s="9">
        <v>31950</v>
      </c>
      <c r="BB31" s="9">
        <v>31880</v>
      </c>
      <c r="BC31" s="9">
        <v>31830</v>
      </c>
      <c r="BD31" s="9">
        <v>31800</v>
      </c>
      <c r="BE31" s="9">
        <v>31800</v>
      </c>
      <c r="BF31" s="9">
        <v>31810</v>
      </c>
      <c r="BG31" s="9">
        <v>31840</v>
      </c>
      <c r="BH31" s="9">
        <v>31880</v>
      </c>
      <c r="BI31" s="9">
        <v>31930</v>
      </c>
      <c r="BJ31" s="9">
        <v>31970</v>
      </c>
      <c r="BK31" s="9">
        <v>32000</v>
      </c>
      <c r="BL31" s="9">
        <v>32030</v>
      </c>
      <c r="BM31" s="9">
        <v>32060</v>
      </c>
      <c r="BN31" s="9">
        <v>32070</v>
      </c>
      <c r="BO31" s="9">
        <v>32080</v>
      </c>
    </row>
    <row r="32" spans="3:67" x14ac:dyDescent="0.2">
      <c r="C32" s="3">
        <v>22</v>
      </c>
      <c r="E32" s="9">
        <v>29240</v>
      </c>
      <c r="F32" s="9">
        <v>29060</v>
      </c>
      <c r="G32" s="9">
        <v>28760</v>
      </c>
      <c r="H32" s="9">
        <v>28500</v>
      </c>
      <c r="I32" s="9">
        <v>29830</v>
      </c>
      <c r="J32" s="9">
        <v>30220</v>
      </c>
      <c r="K32" s="9">
        <v>31400</v>
      </c>
      <c r="L32" s="9">
        <v>32070</v>
      </c>
      <c r="M32" s="9">
        <v>31670</v>
      </c>
      <c r="N32" s="9">
        <v>32440</v>
      </c>
      <c r="O32" s="9">
        <v>32220</v>
      </c>
      <c r="P32" s="9">
        <v>32250</v>
      </c>
      <c r="Q32" s="9">
        <v>31680</v>
      </c>
      <c r="R32" s="9">
        <v>31750</v>
      </c>
      <c r="S32" s="9">
        <v>31290</v>
      </c>
      <c r="T32" s="9">
        <v>30350</v>
      </c>
      <c r="U32" s="9">
        <v>31250</v>
      </c>
      <c r="V32" s="9">
        <v>30820</v>
      </c>
      <c r="W32" s="9">
        <v>29650</v>
      </c>
      <c r="X32" s="9">
        <v>29330</v>
      </c>
      <c r="Y32" s="9">
        <v>29860</v>
      </c>
      <c r="Z32" s="9">
        <v>29630</v>
      </c>
      <c r="AA32" s="9">
        <v>30290</v>
      </c>
      <c r="AB32" s="9">
        <v>31490</v>
      </c>
      <c r="AC32" s="9">
        <v>32620</v>
      </c>
      <c r="AD32" s="9">
        <v>32140</v>
      </c>
      <c r="AE32" s="9">
        <v>32870</v>
      </c>
      <c r="AF32" s="9">
        <v>32180</v>
      </c>
      <c r="AG32" s="9">
        <v>31580</v>
      </c>
      <c r="AH32" s="9">
        <v>30950</v>
      </c>
      <c r="AI32" s="9">
        <v>29950</v>
      </c>
      <c r="AJ32" s="9">
        <v>29670</v>
      </c>
      <c r="AK32" s="9">
        <v>30050</v>
      </c>
      <c r="AL32" s="9">
        <v>30370</v>
      </c>
      <c r="AM32" s="9">
        <v>30640</v>
      </c>
      <c r="AN32" s="9">
        <v>30900</v>
      </c>
      <c r="AO32" s="9">
        <v>31160</v>
      </c>
      <c r="AP32" s="9">
        <v>31380</v>
      </c>
      <c r="AQ32" s="9">
        <v>31580</v>
      </c>
      <c r="AR32" s="9">
        <v>31750</v>
      </c>
      <c r="AS32" s="9">
        <v>31880</v>
      </c>
      <c r="AT32" s="9">
        <v>31980</v>
      </c>
      <c r="AU32" s="9">
        <v>32050</v>
      </c>
      <c r="AV32" s="9">
        <v>32090</v>
      </c>
      <c r="AW32" s="9">
        <v>32100</v>
      </c>
      <c r="AX32" s="9">
        <v>32070</v>
      </c>
      <c r="AY32" s="9">
        <v>32020</v>
      </c>
      <c r="AZ32" s="9">
        <v>31950</v>
      </c>
      <c r="BA32" s="9">
        <v>31870</v>
      </c>
      <c r="BB32" s="9">
        <v>31790</v>
      </c>
      <c r="BC32" s="9">
        <v>31710</v>
      </c>
      <c r="BD32" s="9">
        <v>31660</v>
      </c>
      <c r="BE32" s="9">
        <v>31640</v>
      </c>
      <c r="BF32" s="9">
        <v>31630</v>
      </c>
      <c r="BG32" s="9">
        <v>31650</v>
      </c>
      <c r="BH32" s="9">
        <v>31680</v>
      </c>
      <c r="BI32" s="9">
        <v>31720</v>
      </c>
      <c r="BJ32" s="9">
        <v>31770</v>
      </c>
      <c r="BK32" s="9">
        <v>31810</v>
      </c>
      <c r="BL32" s="9">
        <v>31840</v>
      </c>
      <c r="BM32" s="9">
        <v>31870</v>
      </c>
      <c r="BN32" s="9">
        <v>31900</v>
      </c>
      <c r="BO32" s="9">
        <v>31910</v>
      </c>
    </row>
    <row r="33" spans="3:67" x14ac:dyDescent="0.2">
      <c r="C33" s="3">
        <v>23</v>
      </c>
      <c r="E33" s="9">
        <v>28880</v>
      </c>
      <c r="F33" s="9">
        <v>28650</v>
      </c>
      <c r="G33" s="9">
        <v>28520</v>
      </c>
      <c r="H33" s="9">
        <v>28380</v>
      </c>
      <c r="I33" s="9">
        <v>28400</v>
      </c>
      <c r="J33" s="9">
        <v>29440</v>
      </c>
      <c r="K33" s="9">
        <v>29730</v>
      </c>
      <c r="L33" s="9">
        <v>31030</v>
      </c>
      <c r="M33" s="9">
        <v>32570</v>
      </c>
      <c r="N33" s="9">
        <v>32410</v>
      </c>
      <c r="O33" s="9">
        <v>32790</v>
      </c>
      <c r="P33" s="9">
        <v>32170</v>
      </c>
      <c r="Q33" s="9">
        <v>32190</v>
      </c>
      <c r="R33" s="9">
        <v>31620</v>
      </c>
      <c r="S33" s="9">
        <v>31700</v>
      </c>
      <c r="T33" s="9">
        <v>31240</v>
      </c>
      <c r="U33" s="9">
        <v>30300</v>
      </c>
      <c r="V33" s="9">
        <v>31200</v>
      </c>
      <c r="W33" s="9">
        <v>30770</v>
      </c>
      <c r="X33" s="9">
        <v>29600</v>
      </c>
      <c r="Y33" s="9">
        <v>29280</v>
      </c>
      <c r="Z33" s="9">
        <v>29810</v>
      </c>
      <c r="AA33" s="9">
        <v>29580</v>
      </c>
      <c r="AB33" s="9">
        <v>30240</v>
      </c>
      <c r="AC33" s="9">
        <v>31440</v>
      </c>
      <c r="AD33" s="9">
        <v>32560</v>
      </c>
      <c r="AE33" s="9">
        <v>32080</v>
      </c>
      <c r="AF33" s="9">
        <v>32820</v>
      </c>
      <c r="AG33" s="9">
        <v>32130</v>
      </c>
      <c r="AH33" s="9">
        <v>31530</v>
      </c>
      <c r="AI33" s="9">
        <v>30900</v>
      </c>
      <c r="AJ33" s="9">
        <v>29900</v>
      </c>
      <c r="AK33" s="9">
        <v>29620</v>
      </c>
      <c r="AL33" s="9">
        <v>30000</v>
      </c>
      <c r="AM33" s="9">
        <v>30320</v>
      </c>
      <c r="AN33" s="9">
        <v>30590</v>
      </c>
      <c r="AO33" s="9">
        <v>30850</v>
      </c>
      <c r="AP33" s="9">
        <v>31110</v>
      </c>
      <c r="AQ33" s="9">
        <v>31340</v>
      </c>
      <c r="AR33" s="9">
        <v>31530</v>
      </c>
      <c r="AS33" s="9">
        <v>31700</v>
      </c>
      <c r="AT33" s="9">
        <v>31830</v>
      </c>
      <c r="AU33" s="9">
        <v>31930</v>
      </c>
      <c r="AV33" s="9">
        <v>32000</v>
      </c>
      <c r="AW33" s="9">
        <v>32040</v>
      </c>
      <c r="AX33" s="9">
        <v>32050</v>
      </c>
      <c r="AY33" s="9">
        <v>32020</v>
      </c>
      <c r="AZ33" s="9">
        <v>31970</v>
      </c>
      <c r="BA33" s="9">
        <v>31900</v>
      </c>
      <c r="BB33" s="9">
        <v>31820</v>
      </c>
      <c r="BC33" s="9">
        <v>31740</v>
      </c>
      <c r="BD33" s="9">
        <v>31670</v>
      </c>
      <c r="BE33" s="9">
        <v>31620</v>
      </c>
      <c r="BF33" s="9">
        <v>31590</v>
      </c>
      <c r="BG33" s="9">
        <v>31590</v>
      </c>
      <c r="BH33" s="9">
        <v>31600</v>
      </c>
      <c r="BI33" s="9">
        <v>31630</v>
      </c>
      <c r="BJ33" s="9">
        <v>31670</v>
      </c>
      <c r="BK33" s="9">
        <v>31720</v>
      </c>
      <c r="BL33" s="9">
        <v>31760</v>
      </c>
      <c r="BM33" s="9">
        <v>31800</v>
      </c>
      <c r="BN33" s="9">
        <v>31830</v>
      </c>
      <c r="BO33" s="9">
        <v>31850</v>
      </c>
    </row>
    <row r="34" spans="3:67" x14ac:dyDescent="0.2">
      <c r="C34" s="3">
        <v>24</v>
      </c>
      <c r="E34" s="9">
        <v>27860</v>
      </c>
      <c r="F34" s="9">
        <v>28440</v>
      </c>
      <c r="G34" s="9">
        <v>28250</v>
      </c>
      <c r="H34" s="9">
        <v>28310</v>
      </c>
      <c r="I34" s="9">
        <v>28250</v>
      </c>
      <c r="J34" s="9">
        <v>28180</v>
      </c>
      <c r="K34" s="9">
        <v>29140</v>
      </c>
      <c r="L34" s="9">
        <v>29620</v>
      </c>
      <c r="M34" s="9">
        <v>31710</v>
      </c>
      <c r="N34" s="9">
        <v>33470</v>
      </c>
      <c r="O34" s="9">
        <v>32910</v>
      </c>
      <c r="P34" s="9">
        <v>32880</v>
      </c>
      <c r="Q34" s="9">
        <v>32260</v>
      </c>
      <c r="R34" s="9">
        <v>32290</v>
      </c>
      <c r="S34" s="9">
        <v>31720</v>
      </c>
      <c r="T34" s="9">
        <v>31800</v>
      </c>
      <c r="U34" s="9">
        <v>31340</v>
      </c>
      <c r="V34" s="9">
        <v>30390</v>
      </c>
      <c r="W34" s="9">
        <v>31290</v>
      </c>
      <c r="X34" s="9">
        <v>30860</v>
      </c>
      <c r="Y34" s="9">
        <v>29700</v>
      </c>
      <c r="Z34" s="9">
        <v>29370</v>
      </c>
      <c r="AA34" s="9">
        <v>29900</v>
      </c>
      <c r="AB34" s="9">
        <v>29670</v>
      </c>
      <c r="AC34" s="9">
        <v>30340</v>
      </c>
      <c r="AD34" s="9">
        <v>31540</v>
      </c>
      <c r="AE34" s="9">
        <v>32660</v>
      </c>
      <c r="AF34" s="9">
        <v>32180</v>
      </c>
      <c r="AG34" s="9">
        <v>32910</v>
      </c>
      <c r="AH34" s="9">
        <v>32220</v>
      </c>
      <c r="AI34" s="9">
        <v>31620</v>
      </c>
      <c r="AJ34" s="9">
        <v>31000</v>
      </c>
      <c r="AK34" s="9">
        <v>30000</v>
      </c>
      <c r="AL34" s="9">
        <v>29720</v>
      </c>
      <c r="AM34" s="9">
        <v>30100</v>
      </c>
      <c r="AN34" s="9">
        <v>30420</v>
      </c>
      <c r="AO34" s="9">
        <v>30690</v>
      </c>
      <c r="AP34" s="9">
        <v>30950</v>
      </c>
      <c r="AQ34" s="9">
        <v>31210</v>
      </c>
      <c r="AR34" s="9">
        <v>31430</v>
      </c>
      <c r="AS34" s="9">
        <v>31630</v>
      </c>
      <c r="AT34" s="9">
        <v>31800</v>
      </c>
      <c r="AU34" s="9">
        <v>31930</v>
      </c>
      <c r="AV34" s="9">
        <v>32030</v>
      </c>
      <c r="AW34" s="9">
        <v>32100</v>
      </c>
      <c r="AX34" s="9">
        <v>32140</v>
      </c>
      <c r="AY34" s="9">
        <v>32150</v>
      </c>
      <c r="AZ34" s="9">
        <v>32120</v>
      </c>
      <c r="BA34" s="9">
        <v>32070</v>
      </c>
      <c r="BB34" s="9">
        <v>32000</v>
      </c>
      <c r="BC34" s="9">
        <v>31920</v>
      </c>
      <c r="BD34" s="9">
        <v>31840</v>
      </c>
      <c r="BE34" s="9">
        <v>31770</v>
      </c>
      <c r="BF34" s="9">
        <v>31720</v>
      </c>
      <c r="BG34" s="9">
        <v>31690</v>
      </c>
      <c r="BH34" s="9">
        <v>31690</v>
      </c>
      <c r="BI34" s="9">
        <v>31700</v>
      </c>
      <c r="BJ34" s="9">
        <v>31730</v>
      </c>
      <c r="BK34" s="9">
        <v>31780</v>
      </c>
      <c r="BL34" s="9">
        <v>31820</v>
      </c>
      <c r="BM34" s="9">
        <v>31860</v>
      </c>
      <c r="BN34" s="9">
        <v>31900</v>
      </c>
      <c r="BO34" s="9">
        <v>31930</v>
      </c>
    </row>
    <row r="35" spans="3:67" x14ac:dyDescent="0.2">
      <c r="C35" s="3">
        <v>25</v>
      </c>
      <c r="E35" s="9">
        <v>27140</v>
      </c>
      <c r="F35" s="9">
        <v>27660</v>
      </c>
      <c r="G35" s="9">
        <v>28050</v>
      </c>
      <c r="H35" s="9">
        <v>28170</v>
      </c>
      <c r="I35" s="9">
        <v>28260</v>
      </c>
      <c r="J35" s="9">
        <v>28120</v>
      </c>
      <c r="K35" s="9">
        <v>28030</v>
      </c>
      <c r="L35" s="9">
        <v>29240</v>
      </c>
      <c r="M35" s="9">
        <v>30420</v>
      </c>
      <c r="N35" s="9">
        <v>32690</v>
      </c>
      <c r="O35" s="9">
        <v>34080</v>
      </c>
      <c r="P35" s="9">
        <v>33150</v>
      </c>
      <c r="Q35" s="9">
        <v>33120</v>
      </c>
      <c r="R35" s="9">
        <v>32500</v>
      </c>
      <c r="S35" s="9">
        <v>32530</v>
      </c>
      <c r="T35" s="9">
        <v>31950</v>
      </c>
      <c r="U35" s="9">
        <v>32030</v>
      </c>
      <c r="V35" s="9">
        <v>31570</v>
      </c>
      <c r="W35" s="9">
        <v>30630</v>
      </c>
      <c r="X35" s="9">
        <v>31530</v>
      </c>
      <c r="Y35" s="9">
        <v>31100</v>
      </c>
      <c r="Z35" s="9">
        <v>29930</v>
      </c>
      <c r="AA35" s="9">
        <v>29610</v>
      </c>
      <c r="AB35" s="9">
        <v>30140</v>
      </c>
      <c r="AC35" s="9">
        <v>29910</v>
      </c>
      <c r="AD35" s="9">
        <v>30580</v>
      </c>
      <c r="AE35" s="9">
        <v>31780</v>
      </c>
      <c r="AF35" s="9">
        <v>32900</v>
      </c>
      <c r="AG35" s="9">
        <v>32420</v>
      </c>
      <c r="AH35" s="9">
        <v>33150</v>
      </c>
      <c r="AI35" s="9">
        <v>32460</v>
      </c>
      <c r="AJ35" s="9">
        <v>31860</v>
      </c>
      <c r="AK35" s="9">
        <v>31240</v>
      </c>
      <c r="AL35" s="9">
        <v>30240</v>
      </c>
      <c r="AM35" s="9">
        <v>29960</v>
      </c>
      <c r="AN35" s="9">
        <v>30340</v>
      </c>
      <c r="AO35" s="9">
        <v>30660</v>
      </c>
      <c r="AP35" s="9">
        <v>30930</v>
      </c>
      <c r="AQ35" s="9">
        <v>31190</v>
      </c>
      <c r="AR35" s="9">
        <v>31450</v>
      </c>
      <c r="AS35" s="9">
        <v>31670</v>
      </c>
      <c r="AT35" s="9">
        <v>31870</v>
      </c>
      <c r="AU35" s="9">
        <v>32040</v>
      </c>
      <c r="AV35" s="9">
        <v>32170</v>
      </c>
      <c r="AW35" s="9">
        <v>32270</v>
      </c>
      <c r="AX35" s="9">
        <v>32340</v>
      </c>
      <c r="AY35" s="9">
        <v>32380</v>
      </c>
      <c r="AZ35" s="9">
        <v>32390</v>
      </c>
      <c r="BA35" s="9">
        <v>32360</v>
      </c>
      <c r="BB35" s="9">
        <v>32310</v>
      </c>
      <c r="BC35" s="9">
        <v>32240</v>
      </c>
      <c r="BD35" s="9">
        <v>32160</v>
      </c>
      <c r="BE35" s="9">
        <v>32080</v>
      </c>
      <c r="BF35" s="9">
        <v>32010</v>
      </c>
      <c r="BG35" s="9">
        <v>31960</v>
      </c>
      <c r="BH35" s="9">
        <v>31930</v>
      </c>
      <c r="BI35" s="9">
        <v>31930</v>
      </c>
      <c r="BJ35" s="9">
        <v>31950</v>
      </c>
      <c r="BK35" s="9">
        <v>31980</v>
      </c>
      <c r="BL35" s="9">
        <v>32020</v>
      </c>
      <c r="BM35" s="9">
        <v>32060</v>
      </c>
      <c r="BN35" s="9">
        <v>32100</v>
      </c>
      <c r="BO35" s="9">
        <v>32140</v>
      </c>
    </row>
    <row r="36" spans="3:67" x14ac:dyDescent="0.2">
      <c r="C36" s="3">
        <v>26</v>
      </c>
      <c r="E36" s="9">
        <v>26810</v>
      </c>
      <c r="F36" s="9">
        <v>27200</v>
      </c>
      <c r="G36" s="9">
        <v>27510</v>
      </c>
      <c r="H36" s="9">
        <v>28030</v>
      </c>
      <c r="I36" s="9">
        <v>28290</v>
      </c>
      <c r="J36" s="9">
        <v>28060</v>
      </c>
      <c r="K36" s="9">
        <v>27980</v>
      </c>
      <c r="L36" s="9">
        <v>28240</v>
      </c>
      <c r="M36" s="9">
        <v>30220</v>
      </c>
      <c r="N36" s="9">
        <v>31490</v>
      </c>
      <c r="O36" s="9">
        <v>33420</v>
      </c>
      <c r="P36" s="9">
        <v>34470</v>
      </c>
      <c r="Q36" s="9">
        <v>33530</v>
      </c>
      <c r="R36" s="9">
        <v>33510</v>
      </c>
      <c r="S36" s="9">
        <v>32890</v>
      </c>
      <c r="T36" s="9">
        <v>32910</v>
      </c>
      <c r="U36" s="9">
        <v>32340</v>
      </c>
      <c r="V36" s="9">
        <v>32420</v>
      </c>
      <c r="W36" s="9">
        <v>31960</v>
      </c>
      <c r="X36" s="9">
        <v>31020</v>
      </c>
      <c r="Y36" s="9">
        <v>31920</v>
      </c>
      <c r="Z36" s="9">
        <v>31490</v>
      </c>
      <c r="AA36" s="9">
        <v>30320</v>
      </c>
      <c r="AB36" s="9">
        <v>30000</v>
      </c>
      <c r="AC36" s="9">
        <v>30530</v>
      </c>
      <c r="AD36" s="9">
        <v>30300</v>
      </c>
      <c r="AE36" s="9">
        <v>30970</v>
      </c>
      <c r="AF36" s="9">
        <v>32170</v>
      </c>
      <c r="AG36" s="9">
        <v>33290</v>
      </c>
      <c r="AH36" s="9">
        <v>32810</v>
      </c>
      <c r="AI36" s="9">
        <v>33540</v>
      </c>
      <c r="AJ36" s="9">
        <v>32850</v>
      </c>
      <c r="AK36" s="9">
        <v>32250</v>
      </c>
      <c r="AL36" s="9">
        <v>31630</v>
      </c>
      <c r="AM36" s="9">
        <v>30630</v>
      </c>
      <c r="AN36" s="9">
        <v>30350</v>
      </c>
      <c r="AO36" s="9">
        <v>30730</v>
      </c>
      <c r="AP36" s="9">
        <v>31050</v>
      </c>
      <c r="AQ36" s="9">
        <v>31320</v>
      </c>
      <c r="AR36" s="9">
        <v>31580</v>
      </c>
      <c r="AS36" s="9">
        <v>31840</v>
      </c>
      <c r="AT36" s="9">
        <v>32070</v>
      </c>
      <c r="AU36" s="9">
        <v>32260</v>
      </c>
      <c r="AV36" s="9">
        <v>32430</v>
      </c>
      <c r="AW36" s="9">
        <v>32570</v>
      </c>
      <c r="AX36" s="9">
        <v>32670</v>
      </c>
      <c r="AY36" s="9">
        <v>32740</v>
      </c>
      <c r="AZ36" s="9">
        <v>32770</v>
      </c>
      <c r="BA36" s="9">
        <v>32780</v>
      </c>
      <c r="BB36" s="9">
        <v>32750</v>
      </c>
      <c r="BC36" s="9">
        <v>32700</v>
      </c>
      <c r="BD36" s="9">
        <v>32630</v>
      </c>
      <c r="BE36" s="9">
        <v>32550</v>
      </c>
      <c r="BF36" s="9">
        <v>32470</v>
      </c>
      <c r="BG36" s="9">
        <v>32400</v>
      </c>
      <c r="BH36" s="9">
        <v>32350</v>
      </c>
      <c r="BI36" s="9">
        <v>32320</v>
      </c>
      <c r="BJ36" s="9">
        <v>32320</v>
      </c>
      <c r="BK36" s="9">
        <v>32340</v>
      </c>
      <c r="BL36" s="9">
        <v>32370</v>
      </c>
      <c r="BM36" s="9">
        <v>32410</v>
      </c>
      <c r="BN36" s="9">
        <v>32450</v>
      </c>
      <c r="BO36" s="9">
        <v>32500</v>
      </c>
    </row>
    <row r="37" spans="3:67" x14ac:dyDescent="0.2">
      <c r="C37" s="3">
        <v>27</v>
      </c>
      <c r="E37" s="9">
        <v>26790</v>
      </c>
      <c r="F37" s="9">
        <v>26970</v>
      </c>
      <c r="G37" s="9">
        <v>27250</v>
      </c>
      <c r="H37" s="9">
        <v>27710</v>
      </c>
      <c r="I37" s="9">
        <v>28270</v>
      </c>
      <c r="J37" s="9">
        <v>28130</v>
      </c>
      <c r="K37" s="9">
        <v>28050</v>
      </c>
      <c r="L37" s="9">
        <v>28080</v>
      </c>
      <c r="M37" s="9">
        <v>29170</v>
      </c>
      <c r="N37" s="9">
        <v>31250</v>
      </c>
      <c r="O37" s="9">
        <v>32220</v>
      </c>
      <c r="P37" s="9">
        <v>33850</v>
      </c>
      <c r="Q37" s="9">
        <v>34900</v>
      </c>
      <c r="R37" s="9">
        <v>33970</v>
      </c>
      <c r="S37" s="9">
        <v>33940</v>
      </c>
      <c r="T37" s="9">
        <v>33320</v>
      </c>
      <c r="U37" s="9">
        <v>33350</v>
      </c>
      <c r="V37" s="9">
        <v>32780</v>
      </c>
      <c r="W37" s="9">
        <v>32860</v>
      </c>
      <c r="X37" s="9">
        <v>32400</v>
      </c>
      <c r="Y37" s="9">
        <v>31460</v>
      </c>
      <c r="Z37" s="9">
        <v>32350</v>
      </c>
      <c r="AA37" s="9">
        <v>31920</v>
      </c>
      <c r="AB37" s="9">
        <v>30760</v>
      </c>
      <c r="AC37" s="9">
        <v>30440</v>
      </c>
      <c r="AD37" s="9">
        <v>30970</v>
      </c>
      <c r="AE37" s="9">
        <v>30740</v>
      </c>
      <c r="AF37" s="9">
        <v>31410</v>
      </c>
      <c r="AG37" s="9">
        <v>32600</v>
      </c>
      <c r="AH37" s="9">
        <v>33720</v>
      </c>
      <c r="AI37" s="9">
        <v>33250</v>
      </c>
      <c r="AJ37" s="9">
        <v>33980</v>
      </c>
      <c r="AK37" s="9">
        <v>33290</v>
      </c>
      <c r="AL37" s="9">
        <v>32690</v>
      </c>
      <c r="AM37" s="9">
        <v>32070</v>
      </c>
      <c r="AN37" s="9">
        <v>31060</v>
      </c>
      <c r="AO37" s="9">
        <v>30790</v>
      </c>
      <c r="AP37" s="9">
        <v>31170</v>
      </c>
      <c r="AQ37" s="9">
        <v>31490</v>
      </c>
      <c r="AR37" s="9">
        <v>31760</v>
      </c>
      <c r="AS37" s="9">
        <v>32020</v>
      </c>
      <c r="AT37" s="9">
        <v>32280</v>
      </c>
      <c r="AU37" s="9">
        <v>32500</v>
      </c>
      <c r="AV37" s="9">
        <v>32700</v>
      </c>
      <c r="AW37" s="9">
        <v>32870</v>
      </c>
      <c r="AX37" s="9">
        <v>33000</v>
      </c>
      <c r="AY37" s="9">
        <v>33100</v>
      </c>
      <c r="AZ37" s="9">
        <v>33170</v>
      </c>
      <c r="BA37" s="9">
        <v>33210</v>
      </c>
      <c r="BB37" s="9">
        <v>33220</v>
      </c>
      <c r="BC37" s="9">
        <v>33190</v>
      </c>
      <c r="BD37" s="9">
        <v>33140</v>
      </c>
      <c r="BE37" s="9">
        <v>33070</v>
      </c>
      <c r="BF37" s="9">
        <v>32990</v>
      </c>
      <c r="BG37" s="9">
        <v>32910</v>
      </c>
      <c r="BH37" s="9">
        <v>32840</v>
      </c>
      <c r="BI37" s="9">
        <v>32790</v>
      </c>
      <c r="BJ37" s="9">
        <v>32760</v>
      </c>
      <c r="BK37" s="9">
        <v>32760</v>
      </c>
      <c r="BL37" s="9">
        <v>32780</v>
      </c>
      <c r="BM37" s="9">
        <v>32810</v>
      </c>
      <c r="BN37" s="9">
        <v>32850</v>
      </c>
      <c r="BO37" s="9">
        <v>32890</v>
      </c>
    </row>
    <row r="38" spans="3:67" x14ac:dyDescent="0.2">
      <c r="C38" s="3">
        <v>28</v>
      </c>
      <c r="E38" s="9">
        <v>26050</v>
      </c>
      <c r="F38" s="9">
        <v>27100</v>
      </c>
      <c r="G38" s="9">
        <v>27180</v>
      </c>
      <c r="H38" s="9">
        <v>27540</v>
      </c>
      <c r="I38" s="9">
        <v>27920</v>
      </c>
      <c r="J38" s="9">
        <v>28350</v>
      </c>
      <c r="K38" s="9">
        <v>28130</v>
      </c>
      <c r="L38" s="9">
        <v>28290</v>
      </c>
      <c r="M38" s="9">
        <v>28870</v>
      </c>
      <c r="N38" s="9">
        <v>30190</v>
      </c>
      <c r="O38" s="9">
        <v>31990</v>
      </c>
      <c r="P38" s="9">
        <v>32680</v>
      </c>
      <c r="Q38" s="9">
        <v>34310</v>
      </c>
      <c r="R38" s="9">
        <v>35360</v>
      </c>
      <c r="S38" s="9">
        <v>34430</v>
      </c>
      <c r="T38" s="9">
        <v>34400</v>
      </c>
      <c r="U38" s="9">
        <v>33780</v>
      </c>
      <c r="V38" s="9">
        <v>33810</v>
      </c>
      <c r="W38" s="9">
        <v>33240</v>
      </c>
      <c r="X38" s="9">
        <v>33320</v>
      </c>
      <c r="Y38" s="9">
        <v>32860</v>
      </c>
      <c r="Z38" s="9">
        <v>31920</v>
      </c>
      <c r="AA38" s="9">
        <v>32820</v>
      </c>
      <c r="AB38" s="9">
        <v>32390</v>
      </c>
      <c r="AC38" s="9">
        <v>31220</v>
      </c>
      <c r="AD38" s="9">
        <v>30900</v>
      </c>
      <c r="AE38" s="9">
        <v>31430</v>
      </c>
      <c r="AF38" s="9">
        <v>31200</v>
      </c>
      <c r="AG38" s="9">
        <v>31870</v>
      </c>
      <c r="AH38" s="9">
        <v>33070</v>
      </c>
      <c r="AI38" s="9">
        <v>34190</v>
      </c>
      <c r="AJ38" s="9">
        <v>33710</v>
      </c>
      <c r="AK38" s="9">
        <v>34440</v>
      </c>
      <c r="AL38" s="9">
        <v>33750</v>
      </c>
      <c r="AM38" s="9">
        <v>33150</v>
      </c>
      <c r="AN38" s="9">
        <v>32530</v>
      </c>
      <c r="AO38" s="9">
        <v>31530</v>
      </c>
      <c r="AP38" s="9">
        <v>31250</v>
      </c>
      <c r="AQ38" s="9">
        <v>31630</v>
      </c>
      <c r="AR38" s="9">
        <v>31950</v>
      </c>
      <c r="AS38" s="9">
        <v>32220</v>
      </c>
      <c r="AT38" s="9">
        <v>32490</v>
      </c>
      <c r="AU38" s="9">
        <v>32740</v>
      </c>
      <c r="AV38" s="9">
        <v>32970</v>
      </c>
      <c r="AW38" s="9">
        <v>33170</v>
      </c>
      <c r="AX38" s="9">
        <v>33340</v>
      </c>
      <c r="AY38" s="9">
        <v>33470</v>
      </c>
      <c r="AZ38" s="9">
        <v>33570</v>
      </c>
      <c r="BA38" s="9">
        <v>33640</v>
      </c>
      <c r="BB38" s="9">
        <v>33680</v>
      </c>
      <c r="BC38" s="9">
        <v>33680</v>
      </c>
      <c r="BD38" s="9">
        <v>33660</v>
      </c>
      <c r="BE38" s="9">
        <v>33610</v>
      </c>
      <c r="BF38" s="9">
        <v>33540</v>
      </c>
      <c r="BG38" s="9">
        <v>33460</v>
      </c>
      <c r="BH38" s="9">
        <v>33380</v>
      </c>
      <c r="BI38" s="9">
        <v>33310</v>
      </c>
      <c r="BJ38" s="9">
        <v>33260</v>
      </c>
      <c r="BK38" s="9">
        <v>33230</v>
      </c>
      <c r="BL38" s="9">
        <v>33230</v>
      </c>
      <c r="BM38" s="9">
        <v>33240</v>
      </c>
      <c r="BN38" s="9">
        <v>33280</v>
      </c>
      <c r="BO38" s="9">
        <v>33320</v>
      </c>
    </row>
    <row r="39" spans="3:67" x14ac:dyDescent="0.2">
      <c r="C39" s="3">
        <v>29</v>
      </c>
      <c r="E39" s="9">
        <v>26810</v>
      </c>
      <c r="F39" s="9">
        <v>26550</v>
      </c>
      <c r="G39" s="9">
        <v>27440</v>
      </c>
      <c r="H39" s="9">
        <v>27550</v>
      </c>
      <c r="I39" s="9">
        <v>27810</v>
      </c>
      <c r="J39" s="9">
        <v>28140</v>
      </c>
      <c r="K39" s="9">
        <v>28370</v>
      </c>
      <c r="L39" s="9">
        <v>28300</v>
      </c>
      <c r="M39" s="9">
        <v>29190</v>
      </c>
      <c r="N39" s="9">
        <v>29850</v>
      </c>
      <c r="O39" s="9">
        <v>30940</v>
      </c>
      <c r="P39" s="9">
        <v>32490</v>
      </c>
      <c r="Q39" s="9">
        <v>33190</v>
      </c>
      <c r="R39" s="9">
        <v>34810</v>
      </c>
      <c r="S39" s="9">
        <v>35860</v>
      </c>
      <c r="T39" s="9">
        <v>34930</v>
      </c>
      <c r="U39" s="9">
        <v>34900</v>
      </c>
      <c r="V39" s="9">
        <v>34290</v>
      </c>
      <c r="W39" s="9">
        <v>34310</v>
      </c>
      <c r="X39" s="9">
        <v>33740</v>
      </c>
      <c r="Y39" s="9">
        <v>33820</v>
      </c>
      <c r="Z39" s="9">
        <v>33360</v>
      </c>
      <c r="AA39" s="9">
        <v>32420</v>
      </c>
      <c r="AB39" s="9">
        <v>33320</v>
      </c>
      <c r="AC39" s="9">
        <v>32890</v>
      </c>
      <c r="AD39" s="9">
        <v>31730</v>
      </c>
      <c r="AE39" s="9">
        <v>31410</v>
      </c>
      <c r="AF39" s="9">
        <v>31940</v>
      </c>
      <c r="AG39" s="9">
        <v>31710</v>
      </c>
      <c r="AH39" s="9">
        <v>32370</v>
      </c>
      <c r="AI39" s="9">
        <v>33570</v>
      </c>
      <c r="AJ39" s="9">
        <v>34690</v>
      </c>
      <c r="AK39" s="9">
        <v>34220</v>
      </c>
      <c r="AL39" s="9">
        <v>34950</v>
      </c>
      <c r="AM39" s="9">
        <v>34260</v>
      </c>
      <c r="AN39" s="9">
        <v>33660</v>
      </c>
      <c r="AO39" s="9">
        <v>33040</v>
      </c>
      <c r="AP39" s="9">
        <v>32040</v>
      </c>
      <c r="AQ39" s="9">
        <v>31760</v>
      </c>
      <c r="AR39" s="9">
        <v>32140</v>
      </c>
      <c r="AS39" s="9">
        <v>32460</v>
      </c>
      <c r="AT39" s="9">
        <v>32730</v>
      </c>
      <c r="AU39" s="9">
        <v>32990</v>
      </c>
      <c r="AV39" s="9">
        <v>33250</v>
      </c>
      <c r="AW39" s="9">
        <v>33480</v>
      </c>
      <c r="AX39" s="9">
        <v>33670</v>
      </c>
      <c r="AY39" s="9">
        <v>33840</v>
      </c>
      <c r="AZ39" s="9">
        <v>33980</v>
      </c>
      <c r="BA39" s="9">
        <v>34080</v>
      </c>
      <c r="BB39" s="9">
        <v>34150</v>
      </c>
      <c r="BC39" s="9">
        <v>34180</v>
      </c>
      <c r="BD39" s="9">
        <v>34190</v>
      </c>
      <c r="BE39" s="9">
        <v>34170</v>
      </c>
      <c r="BF39" s="9">
        <v>34120</v>
      </c>
      <c r="BG39" s="9">
        <v>34050</v>
      </c>
      <c r="BH39" s="9">
        <v>33970</v>
      </c>
      <c r="BI39" s="9">
        <v>33880</v>
      </c>
      <c r="BJ39" s="9">
        <v>33820</v>
      </c>
      <c r="BK39" s="9">
        <v>33760</v>
      </c>
      <c r="BL39" s="9">
        <v>33740</v>
      </c>
      <c r="BM39" s="9">
        <v>33740</v>
      </c>
      <c r="BN39" s="9">
        <v>33750</v>
      </c>
      <c r="BO39" s="9">
        <v>33790</v>
      </c>
    </row>
    <row r="40" spans="3:67" x14ac:dyDescent="0.2">
      <c r="C40" s="3">
        <v>30</v>
      </c>
      <c r="E40" s="9">
        <v>27080</v>
      </c>
      <c r="F40" s="9">
        <v>27260</v>
      </c>
      <c r="G40" s="9">
        <v>26940</v>
      </c>
      <c r="H40" s="9">
        <v>27910</v>
      </c>
      <c r="I40" s="9">
        <v>28010</v>
      </c>
      <c r="J40" s="9">
        <v>27920</v>
      </c>
      <c r="K40" s="9">
        <v>28260</v>
      </c>
      <c r="L40" s="9">
        <v>28630</v>
      </c>
      <c r="M40" s="9">
        <v>29130</v>
      </c>
      <c r="N40" s="9">
        <v>30050</v>
      </c>
      <c r="O40" s="9">
        <v>30530</v>
      </c>
      <c r="P40" s="9">
        <v>31430</v>
      </c>
      <c r="Q40" s="9">
        <v>32980</v>
      </c>
      <c r="R40" s="9">
        <v>33680</v>
      </c>
      <c r="S40" s="9">
        <v>35300</v>
      </c>
      <c r="T40" s="9">
        <v>36350</v>
      </c>
      <c r="U40" s="9">
        <v>35420</v>
      </c>
      <c r="V40" s="9">
        <v>35390</v>
      </c>
      <c r="W40" s="9">
        <v>34780</v>
      </c>
      <c r="X40" s="9">
        <v>34800</v>
      </c>
      <c r="Y40" s="9">
        <v>34230</v>
      </c>
      <c r="Z40" s="9">
        <v>34310</v>
      </c>
      <c r="AA40" s="9">
        <v>33850</v>
      </c>
      <c r="AB40" s="9">
        <v>32920</v>
      </c>
      <c r="AC40" s="9">
        <v>33810</v>
      </c>
      <c r="AD40" s="9">
        <v>33380</v>
      </c>
      <c r="AE40" s="9">
        <v>32220</v>
      </c>
      <c r="AF40" s="9">
        <v>31900</v>
      </c>
      <c r="AG40" s="9">
        <v>32430</v>
      </c>
      <c r="AH40" s="9">
        <v>32200</v>
      </c>
      <c r="AI40" s="9">
        <v>32870</v>
      </c>
      <c r="AJ40" s="9">
        <v>34060</v>
      </c>
      <c r="AK40" s="9">
        <v>35190</v>
      </c>
      <c r="AL40" s="9">
        <v>34710</v>
      </c>
      <c r="AM40" s="9">
        <v>35440</v>
      </c>
      <c r="AN40" s="9">
        <v>34750</v>
      </c>
      <c r="AO40" s="9">
        <v>34150</v>
      </c>
      <c r="AP40" s="9">
        <v>33530</v>
      </c>
      <c r="AQ40" s="9">
        <v>32530</v>
      </c>
      <c r="AR40" s="9">
        <v>32250</v>
      </c>
      <c r="AS40" s="9">
        <v>32630</v>
      </c>
      <c r="AT40" s="9">
        <v>32950</v>
      </c>
      <c r="AU40" s="9">
        <v>33220</v>
      </c>
      <c r="AV40" s="9">
        <v>33490</v>
      </c>
      <c r="AW40" s="9">
        <v>33740</v>
      </c>
      <c r="AX40" s="9">
        <v>33970</v>
      </c>
      <c r="AY40" s="9">
        <v>34170</v>
      </c>
      <c r="AZ40" s="9">
        <v>34340</v>
      </c>
      <c r="BA40" s="9">
        <v>34470</v>
      </c>
      <c r="BB40" s="9">
        <v>34570</v>
      </c>
      <c r="BC40" s="9">
        <v>34640</v>
      </c>
      <c r="BD40" s="9">
        <v>34680</v>
      </c>
      <c r="BE40" s="9">
        <v>34690</v>
      </c>
      <c r="BF40" s="9">
        <v>34660</v>
      </c>
      <c r="BG40" s="9">
        <v>34610</v>
      </c>
      <c r="BH40" s="9">
        <v>34540</v>
      </c>
      <c r="BI40" s="9">
        <v>34460</v>
      </c>
      <c r="BJ40" s="9">
        <v>34380</v>
      </c>
      <c r="BK40" s="9">
        <v>34310</v>
      </c>
      <c r="BL40" s="9">
        <v>34260</v>
      </c>
      <c r="BM40" s="9">
        <v>34240</v>
      </c>
      <c r="BN40" s="9">
        <v>34230</v>
      </c>
      <c r="BO40" s="9">
        <v>34250</v>
      </c>
    </row>
    <row r="41" spans="3:67" x14ac:dyDescent="0.2">
      <c r="C41" s="3">
        <v>31</v>
      </c>
      <c r="E41" s="9">
        <v>28670</v>
      </c>
      <c r="F41" s="9">
        <v>27610</v>
      </c>
      <c r="G41" s="9">
        <v>27590</v>
      </c>
      <c r="H41" s="9">
        <v>27380</v>
      </c>
      <c r="I41" s="9">
        <v>28230</v>
      </c>
      <c r="J41" s="9">
        <v>28200</v>
      </c>
      <c r="K41" s="9">
        <v>28030</v>
      </c>
      <c r="L41" s="9">
        <v>28510</v>
      </c>
      <c r="M41" s="9">
        <v>29290</v>
      </c>
      <c r="N41" s="9">
        <v>29870</v>
      </c>
      <c r="O41" s="9">
        <v>30620</v>
      </c>
      <c r="P41" s="9">
        <v>30920</v>
      </c>
      <c r="Q41" s="9">
        <v>31810</v>
      </c>
      <c r="R41" s="9">
        <v>33370</v>
      </c>
      <c r="S41" s="9">
        <v>34060</v>
      </c>
      <c r="T41" s="9">
        <v>35690</v>
      </c>
      <c r="U41" s="9">
        <v>36740</v>
      </c>
      <c r="V41" s="9">
        <v>35810</v>
      </c>
      <c r="W41" s="9">
        <v>35780</v>
      </c>
      <c r="X41" s="9">
        <v>35160</v>
      </c>
      <c r="Y41" s="9">
        <v>35190</v>
      </c>
      <c r="Z41" s="9">
        <v>34620</v>
      </c>
      <c r="AA41" s="9">
        <v>34700</v>
      </c>
      <c r="AB41" s="9">
        <v>34240</v>
      </c>
      <c r="AC41" s="9">
        <v>33300</v>
      </c>
      <c r="AD41" s="9">
        <v>34200</v>
      </c>
      <c r="AE41" s="9">
        <v>33770</v>
      </c>
      <c r="AF41" s="9">
        <v>32610</v>
      </c>
      <c r="AG41" s="9">
        <v>32290</v>
      </c>
      <c r="AH41" s="9">
        <v>32820</v>
      </c>
      <c r="AI41" s="9">
        <v>32590</v>
      </c>
      <c r="AJ41" s="9">
        <v>33260</v>
      </c>
      <c r="AK41" s="9">
        <v>34450</v>
      </c>
      <c r="AL41" s="9">
        <v>35570</v>
      </c>
      <c r="AM41" s="9">
        <v>35100</v>
      </c>
      <c r="AN41" s="9">
        <v>35830</v>
      </c>
      <c r="AO41" s="9">
        <v>35140</v>
      </c>
      <c r="AP41" s="9">
        <v>34540</v>
      </c>
      <c r="AQ41" s="9">
        <v>33920</v>
      </c>
      <c r="AR41" s="9">
        <v>32920</v>
      </c>
      <c r="AS41" s="9">
        <v>32640</v>
      </c>
      <c r="AT41" s="9">
        <v>33020</v>
      </c>
      <c r="AU41" s="9">
        <v>33340</v>
      </c>
      <c r="AV41" s="9">
        <v>33610</v>
      </c>
      <c r="AW41" s="9">
        <v>33880</v>
      </c>
      <c r="AX41" s="9">
        <v>34130</v>
      </c>
      <c r="AY41" s="9">
        <v>34360</v>
      </c>
      <c r="AZ41" s="9">
        <v>34560</v>
      </c>
      <c r="BA41" s="9">
        <v>34730</v>
      </c>
      <c r="BB41" s="9">
        <v>34860</v>
      </c>
      <c r="BC41" s="9">
        <v>34960</v>
      </c>
      <c r="BD41" s="9">
        <v>35030</v>
      </c>
      <c r="BE41" s="9">
        <v>35070</v>
      </c>
      <c r="BF41" s="9">
        <v>35080</v>
      </c>
      <c r="BG41" s="9">
        <v>35050</v>
      </c>
      <c r="BH41" s="9">
        <v>35000</v>
      </c>
      <c r="BI41" s="9">
        <v>34930</v>
      </c>
      <c r="BJ41" s="9">
        <v>34850</v>
      </c>
      <c r="BK41" s="9">
        <v>34770</v>
      </c>
      <c r="BL41" s="9">
        <v>34700</v>
      </c>
      <c r="BM41" s="9">
        <v>34650</v>
      </c>
      <c r="BN41" s="9">
        <v>34630</v>
      </c>
      <c r="BO41" s="9">
        <v>34630</v>
      </c>
    </row>
    <row r="42" spans="3:67" x14ac:dyDescent="0.2">
      <c r="C42" s="3">
        <v>32</v>
      </c>
      <c r="E42" s="9">
        <v>29960</v>
      </c>
      <c r="F42" s="9">
        <v>28990</v>
      </c>
      <c r="G42" s="9">
        <v>27810</v>
      </c>
      <c r="H42" s="9">
        <v>27780</v>
      </c>
      <c r="I42" s="9">
        <v>27520</v>
      </c>
      <c r="J42" s="9">
        <v>28300</v>
      </c>
      <c r="K42" s="9">
        <v>28140</v>
      </c>
      <c r="L42" s="9">
        <v>28010</v>
      </c>
      <c r="M42" s="9">
        <v>28940</v>
      </c>
      <c r="N42" s="9">
        <v>29840</v>
      </c>
      <c r="O42" s="9">
        <v>30250</v>
      </c>
      <c r="P42" s="9">
        <v>30830</v>
      </c>
      <c r="Q42" s="9">
        <v>31130</v>
      </c>
      <c r="R42" s="9">
        <v>32030</v>
      </c>
      <c r="S42" s="9">
        <v>33580</v>
      </c>
      <c r="T42" s="9">
        <v>34270</v>
      </c>
      <c r="U42" s="9">
        <v>35900</v>
      </c>
      <c r="V42" s="9">
        <v>36950</v>
      </c>
      <c r="W42" s="9">
        <v>36020</v>
      </c>
      <c r="X42" s="9">
        <v>35990</v>
      </c>
      <c r="Y42" s="9">
        <v>35380</v>
      </c>
      <c r="Z42" s="9">
        <v>35400</v>
      </c>
      <c r="AA42" s="9">
        <v>34830</v>
      </c>
      <c r="AB42" s="9">
        <v>34910</v>
      </c>
      <c r="AC42" s="9">
        <v>34460</v>
      </c>
      <c r="AD42" s="9">
        <v>33520</v>
      </c>
      <c r="AE42" s="9">
        <v>34420</v>
      </c>
      <c r="AF42" s="9">
        <v>33990</v>
      </c>
      <c r="AG42" s="9">
        <v>32830</v>
      </c>
      <c r="AH42" s="9">
        <v>32510</v>
      </c>
      <c r="AI42" s="9">
        <v>33040</v>
      </c>
      <c r="AJ42" s="9">
        <v>32810</v>
      </c>
      <c r="AK42" s="9">
        <v>33470</v>
      </c>
      <c r="AL42" s="9">
        <v>34670</v>
      </c>
      <c r="AM42" s="9">
        <v>35790</v>
      </c>
      <c r="AN42" s="9">
        <v>35310</v>
      </c>
      <c r="AO42" s="9">
        <v>36050</v>
      </c>
      <c r="AP42" s="9">
        <v>35360</v>
      </c>
      <c r="AQ42" s="9">
        <v>34760</v>
      </c>
      <c r="AR42" s="9">
        <v>34140</v>
      </c>
      <c r="AS42" s="9">
        <v>33140</v>
      </c>
      <c r="AT42" s="9">
        <v>32860</v>
      </c>
      <c r="AU42" s="9">
        <v>33240</v>
      </c>
      <c r="AV42" s="9">
        <v>33560</v>
      </c>
      <c r="AW42" s="9">
        <v>33830</v>
      </c>
      <c r="AX42" s="9">
        <v>34100</v>
      </c>
      <c r="AY42" s="9">
        <v>34350</v>
      </c>
      <c r="AZ42" s="9">
        <v>34580</v>
      </c>
      <c r="BA42" s="9">
        <v>34780</v>
      </c>
      <c r="BB42" s="9">
        <v>34950</v>
      </c>
      <c r="BC42" s="9">
        <v>35080</v>
      </c>
      <c r="BD42" s="9">
        <v>35180</v>
      </c>
      <c r="BE42" s="9">
        <v>35250</v>
      </c>
      <c r="BF42" s="9">
        <v>35290</v>
      </c>
      <c r="BG42" s="9">
        <v>35300</v>
      </c>
      <c r="BH42" s="9">
        <v>35270</v>
      </c>
      <c r="BI42" s="9">
        <v>35220</v>
      </c>
      <c r="BJ42" s="9">
        <v>35150</v>
      </c>
      <c r="BK42" s="9">
        <v>35070</v>
      </c>
      <c r="BL42" s="9">
        <v>34990</v>
      </c>
      <c r="BM42" s="9">
        <v>34920</v>
      </c>
      <c r="BN42" s="9">
        <v>34870</v>
      </c>
      <c r="BO42" s="9">
        <v>34850</v>
      </c>
    </row>
    <row r="43" spans="3:67" x14ac:dyDescent="0.2">
      <c r="C43" s="3">
        <v>33</v>
      </c>
      <c r="E43" s="9">
        <v>31240</v>
      </c>
      <c r="F43" s="9">
        <v>30280</v>
      </c>
      <c r="G43" s="9">
        <v>29200</v>
      </c>
      <c r="H43" s="9">
        <v>27960</v>
      </c>
      <c r="I43" s="9">
        <v>27980</v>
      </c>
      <c r="J43" s="9">
        <v>27550</v>
      </c>
      <c r="K43" s="9">
        <v>28290</v>
      </c>
      <c r="L43" s="9">
        <v>28140</v>
      </c>
      <c r="M43" s="9">
        <v>28390</v>
      </c>
      <c r="N43" s="9">
        <v>29360</v>
      </c>
      <c r="O43" s="9">
        <v>30120</v>
      </c>
      <c r="P43" s="9">
        <v>30380</v>
      </c>
      <c r="Q43" s="9">
        <v>30970</v>
      </c>
      <c r="R43" s="9">
        <v>31260</v>
      </c>
      <c r="S43" s="9">
        <v>32160</v>
      </c>
      <c r="T43" s="9">
        <v>33720</v>
      </c>
      <c r="U43" s="9">
        <v>34410</v>
      </c>
      <c r="V43" s="9">
        <v>36030</v>
      </c>
      <c r="W43" s="9">
        <v>37080</v>
      </c>
      <c r="X43" s="9">
        <v>36150</v>
      </c>
      <c r="Y43" s="9">
        <v>36130</v>
      </c>
      <c r="Z43" s="9">
        <v>35510</v>
      </c>
      <c r="AA43" s="9">
        <v>35540</v>
      </c>
      <c r="AB43" s="9">
        <v>34970</v>
      </c>
      <c r="AC43" s="9">
        <v>35050</v>
      </c>
      <c r="AD43" s="9">
        <v>34590</v>
      </c>
      <c r="AE43" s="9">
        <v>33650</v>
      </c>
      <c r="AF43" s="9">
        <v>34550</v>
      </c>
      <c r="AG43" s="9">
        <v>34120</v>
      </c>
      <c r="AH43" s="9">
        <v>32960</v>
      </c>
      <c r="AI43" s="9">
        <v>32640</v>
      </c>
      <c r="AJ43" s="9">
        <v>33170</v>
      </c>
      <c r="AK43" s="9">
        <v>32940</v>
      </c>
      <c r="AL43" s="9">
        <v>33610</v>
      </c>
      <c r="AM43" s="9">
        <v>34810</v>
      </c>
      <c r="AN43" s="9">
        <v>35930</v>
      </c>
      <c r="AO43" s="9">
        <v>35450</v>
      </c>
      <c r="AP43" s="9">
        <v>36180</v>
      </c>
      <c r="AQ43" s="9">
        <v>35500</v>
      </c>
      <c r="AR43" s="9">
        <v>34900</v>
      </c>
      <c r="AS43" s="9">
        <v>34280</v>
      </c>
      <c r="AT43" s="9">
        <v>33280</v>
      </c>
      <c r="AU43" s="9">
        <v>33000</v>
      </c>
      <c r="AV43" s="9">
        <v>33380</v>
      </c>
      <c r="AW43" s="9">
        <v>33700</v>
      </c>
      <c r="AX43" s="9">
        <v>33970</v>
      </c>
      <c r="AY43" s="9">
        <v>34240</v>
      </c>
      <c r="AZ43" s="9">
        <v>34490</v>
      </c>
      <c r="BA43" s="9">
        <v>34720</v>
      </c>
      <c r="BB43" s="9">
        <v>34920</v>
      </c>
      <c r="BC43" s="9">
        <v>35090</v>
      </c>
      <c r="BD43" s="9">
        <v>35220</v>
      </c>
      <c r="BE43" s="9">
        <v>35320</v>
      </c>
      <c r="BF43" s="9">
        <v>35390</v>
      </c>
      <c r="BG43" s="9">
        <v>35430</v>
      </c>
      <c r="BH43" s="9">
        <v>35440</v>
      </c>
      <c r="BI43" s="9">
        <v>35410</v>
      </c>
      <c r="BJ43" s="9">
        <v>35360</v>
      </c>
      <c r="BK43" s="9">
        <v>35290</v>
      </c>
      <c r="BL43" s="9">
        <v>35210</v>
      </c>
      <c r="BM43" s="9">
        <v>35130</v>
      </c>
      <c r="BN43" s="9">
        <v>35060</v>
      </c>
      <c r="BO43" s="9">
        <v>35010</v>
      </c>
    </row>
    <row r="44" spans="3:67" x14ac:dyDescent="0.2">
      <c r="C44" s="3">
        <v>34</v>
      </c>
      <c r="E44" s="9">
        <v>32740</v>
      </c>
      <c r="F44" s="9">
        <v>31520</v>
      </c>
      <c r="G44" s="9">
        <v>30510</v>
      </c>
      <c r="H44" s="9">
        <v>29420</v>
      </c>
      <c r="I44" s="9">
        <v>28160</v>
      </c>
      <c r="J44" s="9">
        <v>28030</v>
      </c>
      <c r="K44" s="9">
        <v>27560</v>
      </c>
      <c r="L44" s="9">
        <v>28290</v>
      </c>
      <c r="M44" s="9">
        <v>28410</v>
      </c>
      <c r="N44" s="9">
        <v>28800</v>
      </c>
      <c r="O44" s="9">
        <v>29630</v>
      </c>
      <c r="P44" s="9">
        <v>30250</v>
      </c>
      <c r="Q44" s="9">
        <v>30520</v>
      </c>
      <c r="R44" s="9">
        <v>31100</v>
      </c>
      <c r="S44" s="9">
        <v>31400</v>
      </c>
      <c r="T44" s="9">
        <v>32290</v>
      </c>
      <c r="U44" s="9">
        <v>33850</v>
      </c>
      <c r="V44" s="9">
        <v>34540</v>
      </c>
      <c r="W44" s="9">
        <v>36170</v>
      </c>
      <c r="X44" s="9">
        <v>37210</v>
      </c>
      <c r="Y44" s="9">
        <v>36290</v>
      </c>
      <c r="Z44" s="9">
        <v>36260</v>
      </c>
      <c r="AA44" s="9">
        <v>35650</v>
      </c>
      <c r="AB44" s="9">
        <v>35670</v>
      </c>
      <c r="AC44" s="9">
        <v>35100</v>
      </c>
      <c r="AD44" s="9">
        <v>35180</v>
      </c>
      <c r="AE44" s="9">
        <v>34730</v>
      </c>
      <c r="AF44" s="9">
        <v>33790</v>
      </c>
      <c r="AG44" s="9">
        <v>34690</v>
      </c>
      <c r="AH44" s="9">
        <v>34260</v>
      </c>
      <c r="AI44" s="9">
        <v>33100</v>
      </c>
      <c r="AJ44" s="9">
        <v>32780</v>
      </c>
      <c r="AK44" s="9">
        <v>33310</v>
      </c>
      <c r="AL44" s="9">
        <v>33080</v>
      </c>
      <c r="AM44" s="9">
        <v>33750</v>
      </c>
      <c r="AN44" s="9">
        <v>34940</v>
      </c>
      <c r="AO44" s="9">
        <v>36060</v>
      </c>
      <c r="AP44" s="9">
        <v>35590</v>
      </c>
      <c r="AQ44" s="9">
        <v>36320</v>
      </c>
      <c r="AR44" s="9">
        <v>35630</v>
      </c>
      <c r="AS44" s="9">
        <v>35040</v>
      </c>
      <c r="AT44" s="9">
        <v>34410</v>
      </c>
      <c r="AU44" s="9">
        <v>33420</v>
      </c>
      <c r="AV44" s="9">
        <v>33140</v>
      </c>
      <c r="AW44" s="9">
        <v>33520</v>
      </c>
      <c r="AX44" s="9">
        <v>33840</v>
      </c>
      <c r="AY44" s="9">
        <v>34110</v>
      </c>
      <c r="AZ44" s="9">
        <v>34380</v>
      </c>
      <c r="BA44" s="9">
        <v>34630</v>
      </c>
      <c r="BB44" s="9">
        <v>34860</v>
      </c>
      <c r="BC44" s="9">
        <v>35060</v>
      </c>
      <c r="BD44" s="9">
        <v>35230</v>
      </c>
      <c r="BE44" s="9">
        <v>35360</v>
      </c>
      <c r="BF44" s="9">
        <v>35460</v>
      </c>
      <c r="BG44" s="9">
        <v>35530</v>
      </c>
      <c r="BH44" s="9">
        <v>35570</v>
      </c>
      <c r="BI44" s="9">
        <v>35580</v>
      </c>
      <c r="BJ44" s="9">
        <v>35550</v>
      </c>
      <c r="BK44" s="9">
        <v>35500</v>
      </c>
      <c r="BL44" s="9">
        <v>35430</v>
      </c>
      <c r="BM44" s="9">
        <v>35350</v>
      </c>
      <c r="BN44" s="9">
        <v>35270</v>
      </c>
      <c r="BO44" s="9">
        <v>35210</v>
      </c>
    </row>
    <row r="45" spans="3:67" x14ac:dyDescent="0.2">
      <c r="C45" s="3">
        <v>35</v>
      </c>
      <c r="E45" s="9">
        <v>33360</v>
      </c>
      <c r="F45" s="9">
        <v>33040</v>
      </c>
      <c r="G45" s="9">
        <v>31710</v>
      </c>
      <c r="H45" s="9">
        <v>30800</v>
      </c>
      <c r="I45" s="9">
        <v>29620</v>
      </c>
      <c r="J45" s="9">
        <v>28240</v>
      </c>
      <c r="K45" s="9">
        <v>28000</v>
      </c>
      <c r="L45" s="9">
        <v>27630</v>
      </c>
      <c r="M45" s="9">
        <v>28590</v>
      </c>
      <c r="N45" s="9">
        <v>28820</v>
      </c>
      <c r="O45" s="9">
        <v>29060</v>
      </c>
      <c r="P45" s="9">
        <v>29750</v>
      </c>
      <c r="Q45" s="9">
        <v>30370</v>
      </c>
      <c r="R45" s="9">
        <v>30640</v>
      </c>
      <c r="S45" s="9">
        <v>31220</v>
      </c>
      <c r="T45" s="9">
        <v>31520</v>
      </c>
      <c r="U45" s="9">
        <v>32410</v>
      </c>
      <c r="V45" s="9">
        <v>33970</v>
      </c>
      <c r="W45" s="9">
        <v>34660</v>
      </c>
      <c r="X45" s="9">
        <v>36280</v>
      </c>
      <c r="Y45" s="9">
        <v>37330</v>
      </c>
      <c r="Z45" s="9">
        <v>36410</v>
      </c>
      <c r="AA45" s="9">
        <v>36380</v>
      </c>
      <c r="AB45" s="9">
        <v>35770</v>
      </c>
      <c r="AC45" s="9">
        <v>35790</v>
      </c>
      <c r="AD45" s="9">
        <v>35230</v>
      </c>
      <c r="AE45" s="9">
        <v>35310</v>
      </c>
      <c r="AF45" s="9">
        <v>34850</v>
      </c>
      <c r="AG45" s="9">
        <v>33910</v>
      </c>
      <c r="AH45" s="9">
        <v>34810</v>
      </c>
      <c r="AI45" s="9">
        <v>34380</v>
      </c>
      <c r="AJ45" s="9">
        <v>33220</v>
      </c>
      <c r="AK45" s="9">
        <v>32900</v>
      </c>
      <c r="AL45" s="9">
        <v>33430</v>
      </c>
      <c r="AM45" s="9">
        <v>33200</v>
      </c>
      <c r="AN45" s="9">
        <v>33870</v>
      </c>
      <c r="AO45" s="9">
        <v>35070</v>
      </c>
      <c r="AP45" s="9">
        <v>36190</v>
      </c>
      <c r="AQ45" s="9">
        <v>35710</v>
      </c>
      <c r="AR45" s="9">
        <v>36450</v>
      </c>
      <c r="AS45" s="9">
        <v>35760</v>
      </c>
      <c r="AT45" s="9">
        <v>35160</v>
      </c>
      <c r="AU45" s="9">
        <v>34540</v>
      </c>
      <c r="AV45" s="9">
        <v>33540</v>
      </c>
      <c r="AW45" s="9">
        <v>33260</v>
      </c>
      <c r="AX45" s="9">
        <v>33640</v>
      </c>
      <c r="AY45" s="9">
        <v>33960</v>
      </c>
      <c r="AZ45" s="9">
        <v>34230</v>
      </c>
      <c r="BA45" s="9">
        <v>34500</v>
      </c>
      <c r="BB45" s="9">
        <v>34760</v>
      </c>
      <c r="BC45" s="9">
        <v>34980</v>
      </c>
      <c r="BD45" s="9">
        <v>35180</v>
      </c>
      <c r="BE45" s="9">
        <v>35350</v>
      </c>
      <c r="BF45" s="9">
        <v>35490</v>
      </c>
      <c r="BG45" s="9">
        <v>35590</v>
      </c>
      <c r="BH45" s="9">
        <v>35660</v>
      </c>
      <c r="BI45" s="9">
        <v>35700</v>
      </c>
      <c r="BJ45" s="9">
        <v>35700</v>
      </c>
      <c r="BK45" s="9">
        <v>35680</v>
      </c>
      <c r="BL45" s="9">
        <v>35630</v>
      </c>
      <c r="BM45" s="9">
        <v>35560</v>
      </c>
      <c r="BN45" s="9">
        <v>35480</v>
      </c>
      <c r="BO45" s="9">
        <v>35400</v>
      </c>
    </row>
    <row r="46" spans="3:67" x14ac:dyDescent="0.2">
      <c r="C46" s="3">
        <v>36</v>
      </c>
      <c r="E46" s="9">
        <v>32520</v>
      </c>
      <c r="F46" s="9">
        <v>33680</v>
      </c>
      <c r="G46" s="9">
        <v>33230</v>
      </c>
      <c r="H46" s="9">
        <v>31930</v>
      </c>
      <c r="I46" s="9">
        <v>30980</v>
      </c>
      <c r="J46" s="9">
        <v>29690</v>
      </c>
      <c r="K46" s="9">
        <v>28210</v>
      </c>
      <c r="L46" s="9">
        <v>28060</v>
      </c>
      <c r="M46" s="9">
        <v>27840</v>
      </c>
      <c r="N46" s="9">
        <v>28970</v>
      </c>
      <c r="O46" s="9">
        <v>29070</v>
      </c>
      <c r="P46" s="9">
        <v>29170</v>
      </c>
      <c r="Q46" s="9">
        <v>29850</v>
      </c>
      <c r="R46" s="9">
        <v>30480</v>
      </c>
      <c r="S46" s="9">
        <v>30740</v>
      </c>
      <c r="T46" s="9">
        <v>31320</v>
      </c>
      <c r="U46" s="9">
        <v>31620</v>
      </c>
      <c r="V46" s="9">
        <v>32520</v>
      </c>
      <c r="W46" s="9">
        <v>34070</v>
      </c>
      <c r="X46" s="9">
        <v>34760</v>
      </c>
      <c r="Y46" s="9">
        <v>36390</v>
      </c>
      <c r="Z46" s="9">
        <v>37430</v>
      </c>
      <c r="AA46" s="9">
        <v>36510</v>
      </c>
      <c r="AB46" s="9">
        <v>36480</v>
      </c>
      <c r="AC46" s="9">
        <v>35870</v>
      </c>
      <c r="AD46" s="9">
        <v>35890</v>
      </c>
      <c r="AE46" s="9">
        <v>35330</v>
      </c>
      <c r="AF46" s="9">
        <v>35410</v>
      </c>
      <c r="AG46" s="9">
        <v>34950</v>
      </c>
      <c r="AH46" s="9">
        <v>34020</v>
      </c>
      <c r="AI46" s="9">
        <v>34910</v>
      </c>
      <c r="AJ46" s="9">
        <v>34490</v>
      </c>
      <c r="AK46" s="9">
        <v>33330</v>
      </c>
      <c r="AL46" s="9">
        <v>33010</v>
      </c>
      <c r="AM46" s="9">
        <v>33540</v>
      </c>
      <c r="AN46" s="9">
        <v>33310</v>
      </c>
      <c r="AO46" s="9">
        <v>33980</v>
      </c>
      <c r="AP46" s="9">
        <v>35170</v>
      </c>
      <c r="AQ46" s="9">
        <v>36290</v>
      </c>
      <c r="AR46" s="9">
        <v>35820</v>
      </c>
      <c r="AS46" s="9">
        <v>36550</v>
      </c>
      <c r="AT46" s="9">
        <v>35860</v>
      </c>
      <c r="AU46" s="9">
        <v>35270</v>
      </c>
      <c r="AV46" s="9">
        <v>34640</v>
      </c>
      <c r="AW46" s="9">
        <v>33650</v>
      </c>
      <c r="AX46" s="9">
        <v>33370</v>
      </c>
      <c r="AY46" s="9">
        <v>33750</v>
      </c>
      <c r="AZ46" s="9">
        <v>34070</v>
      </c>
      <c r="BA46" s="9">
        <v>34340</v>
      </c>
      <c r="BB46" s="9">
        <v>34610</v>
      </c>
      <c r="BC46" s="9">
        <v>34870</v>
      </c>
      <c r="BD46" s="9">
        <v>35090</v>
      </c>
      <c r="BE46" s="9">
        <v>35290</v>
      </c>
      <c r="BF46" s="9">
        <v>35460</v>
      </c>
      <c r="BG46" s="9">
        <v>35600</v>
      </c>
      <c r="BH46" s="9">
        <v>35700</v>
      </c>
      <c r="BI46" s="9">
        <v>35770</v>
      </c>
      <c r="BJ46" s="9">
        <v>35810</v>
      </c>
      <c r="BK46" s="9">
        <v>35810</v>
      </c>
      <c r="BL46" s="9">
        <v>35790</v>
      </c>
      <c r="BM46" s="9">
        <v>35740</v>
      </c>
      <c r="BN46" s="9">
        <v>35670</v>
      </c>
      <c r="BO46" s="9">
        <v>35590</v>
      </c>
    </row>
    <row r="47" spans="3:67" x14ac:dyDescent="0.2">
      <c r="C47" s="3">
        <v>37</v>
      </c>
      <c r="E47" s="9">
        <v>32870</v>
      </c>
      <c r="F47" s="9">
        <v>32750</v>
      </c>
      <c r="G47" s="9">
        <v>33850</v>
      </c>
      <c r="H47" s="9">
        <v>33430</v>
      </c>
      <c r="I47" s="9">
        <v>32100</v>
      </c>
      <c r="J47" s="9">
        <v>30990</v>
      </c>
      <c r="K47" s="9">
        <v>29700</v>
      </c>
      <c r="L47" s="9">
        <v>28300</v>
      </c>
      <c r="M47" s="9">
        <v>28270</v>
      </c>
      <c r="N47" s="9">
        <v>28200</v>
      </c>
      <c r="O47" s="9">
        <v>29190</v>
      </c>
      <c r="P47" s="9">
        <v>29150</v>
      </c>
      <c r="Q47" s="9">
        <v>29250</v>
      </c>
      <c r="R47" s="9">
        <v>29940</v>
      </c>
      <c r="S47" s="9">
        <v>30560</v>
      </c>
      <c r="T47" s="9">
        <v>30820</v>
      </c>
      <c r="U47" s="9">
        <v>31410</v>
      </c>
      <c r="V47" s="9">
        <v>31710</v>
      </c>
      <c r="W47" s="9">
        <v>32600</v>
      </c>
      <c r="X47" s="9">
        <v>34150</v>
      </c>
      <c r="Y47" s="9">
        <v>34850</v>
      </c>
      <c r="Z47" s="9">
        <v>36470</v>
      </c>
      <c r="AA47" s="9">
        <v>37520</v>
      </c>
      <c r="AB47" s="9">
        <v>36590</v>
      </c>
      <c r="AC47" s="9">
        <v>36570</v>
      </c>
      <c r="AD47" s="9">
        <v>35950</v>
      </c>
      <c r="AE47" s="9">
        <v>35980</v>
      </c>
      <c r="AF47" s="9">
        <v>35410</v>
      </c>
      <c r="AG47" s="9">
        <v>35490</v>
      </c>
      <c r="AH47" s="9">
        <v>35040</v>
      </c>
      <c r="AI47" s="9">
        <v>34100</v>
      </c>
      <c r="AJ47" s="9">
        <v>35000</v>
      </c>
      <c r="AK47" s="9">
        <v>34570</v>
      </c>
      <c r="AL47" s="9">
        <v>33410</v>
      </c>
      <c r="AM47" s="9">
        <v>33100</v>
      </c>
      <c r="AN47" s="9">
        <v>33630</v>
      </c>
      <c r="AO47" s="9">
        <v>33400</v>
      </c>
      <c r="AP47" s="9">
        <v>34060</v>
      </c>
      <c r="AQ47" s="9">
        <v>35260</v>
      </c>
      <c r="AR47" s="9">
        <v>36380</v>
      </c>
      <c r="AS47" s="9">
        <v>35910</v>
      </c>
      <c r="AT47" s="9">
        <v>36640</v>
      </c>
      <c r="AU47" s="9">
        <v>35950</v>
      </c>
      <c r="AV47" s="9">
        <v>35350</v>
      </c>
      <c r="AW47" s="9">
        <v>34730</v>
      </c>
      <c r="AX47" s="9">
        <v>33740</v>
      </c>
      <c r="AY47" s="9">
        <v>33460</v>
      </c>
      <c r="AZ47" s="9">
        <v>33840</v>
      </c>
      <c r="BA47" s="9">
        <v>34160</v>
      </c>
      <c r="BB47" s="9">
        <v>34430</v>
      </c>
      <c r="BC47" s="9">
        <v>34700</v>
      </c>
      <c r="BD47" s="9">
        <v>34960</v>
      </c>
      <c r="BE47" s="9">
        <v>35180</v>
      </c>
      <c r="BF47" s="9">
        <v>35380</v>
      </c>
      <c r="BG47" s="9">
        <v>35550</v>
      </c>
      <c r="BH47" s="9">
        <v>35690</v>
      </c>
      <c r="BI47" s="9">
        <v>35790</v>
      </c>
      <c r="BJ47" s="9">
        <v>35860</v>
      </c>
      <c r="BK47" s="9">
        <v>35900</v>
      </c>
      <c r="BL47" s="9">
        <v>35900</v>
      </c>
      <c r="BM47" s="9">
        <v>35880</v>
      </c>
      <c r="BN47" s="9">
        <v>35830</v>
      </c>
      <c r="BO47" s="9">
        <v>35760</v>
      </c>
    </row>
    <row r="48" spans="3:67" x14ac:dyDescent="0.2">
      <c r="C48" s="3">
        <v>38</v>
      </c>
      <c r="E48" s="9">
        <v>32450</v>
      </c>
      <c r="F48" s="9">
        <v>33080</v>
      </c>
      <c r="G48" s="9">
        <v>32830</v>
      </c>
      <c r="H48" s="9">
        <v>34000</v>
      </c>
      <c r="I48" s="9">
        <v>33580</v>
      </c>
      <c r="J48" s="9">
        <v>32190</v>
      </c>
      <c r="K48" s="9">
        <v>30960</v>
      </c>
      <c r="L48" s="9">
        <v>29790</v>
      </c>
      <c r="M48" s="9">
        <v>28420</v>
      </c>
      <c r="N48" s="9">
        <v>28600</v>
      </c>
      <c r="O48" s="9">
        <v>28400</v>
      </c>
      <c r="P48" s="9">
        <v>29260</v>
      </c>
      <c r="Q48" s="9">
        <v>29220</v>
      </c>
      <c r="R48" s="9">
        <v>29320</v>
      </c>
      <c r="S48" s="9">
        <v>30000</v>
      </c>
      <c r="T48" s="9">
        <v>30630</v>
      </c>
      <c r="U48" s="9">
        <v>30890</v>
      </c>
      <c r="V48" s="9">
        <v>31470</v>
      </c>
      <c r="W48" s="9">
        <v>31770</v>
      </c>
      <c r="X48" s="9">
        <v>32670</v>
      </c>
      <c r="Y48" s="9">
        <v>34220</v>
      </c>
      <c r="Z48" s="9">
        <v>34910</v>
      </c>
      <c r="AA48" s="9">
        <v>36530</v>
      </c>
      <c r="AB48" s="9">
        <v>37580</v>
      </c>
      <c r="AC48" s="9">
        <v>36660</v>
      </c>
      <c r="AD48" s="9">
        <v>36630</v>
      </c>
      <c r="AE48" s="9">
        <v>36020</v>
      </c>
      <c r="AF48" s="9">
        <v>36050</v>
      </c>
      <c r="AG48" s="9">
        <v>35480</v>
      </c>
      <c r="AH48" s="9">
        <v>35560</v>
      </c>
      <c r="AI48" s="9">
        <v>35110</v>
      </c>
      <c r="AJ48" s="9">
        <v>34170</v>
      </c>
      <c r="AK48" s="9">
        <v>35070</v>
      </c>
      <c r="AL48" s="9">
        <v>34640</v>
      </c>
      <c r="AM48" s="9">
        <v>33480</v>
      </c>
      <c r="AN48" s="9">
        <v>33170</v>
      </c>
      <c r="AO48" s="9">
        <v>33700</v>
      </c>
      <c r="AP48" s="9">
        <v>33470</v>
      </c>
      <c r="AQ48" s="9">
        <v>34140</v>
      </c>
      <c r="AR48" s="9">
        <v>35330</v>
      </c>
      <c r="AS48" s="9">
        <v>36450</v>
      </c>
      <c r="AT48" s="9">
        <v>35980</v>
      </c>
      <c r="AU48" s="9">
        <v>36710</v>
      </c>
      <c r="AV48" s="9">
        <v>36020</v>
      </c>
      <c r="AW48" s="9">
        <v>35430</v>
      </c>
      <c r="AX48" s="9">
        <v>34810</v>
      </c>
      <c r="AY48" s="9">
        <v>33810</v>
      </c>
      <c r="AZ48" s="9">
        <v>33530</v>
      </c>
      <c r="BA48" s="9">
        <v>33910</v>
      </c>
      <c r="BB48" s="9">
        <v>34240</v>
      </c>
      <c r="BC48" s="9">
        <v>34510</v>
      </c>
      <c r="BD48" s="9">
        <v>34770</v>
      </c>
      <c r="BE48" s="9">
        <v>35030</v>
      </c>
      <c r="BF48" s="9">
        <v>35260</v>
      </c>
      <c r="BG48" s="9">
        <v>35460</v>
      </c>
      <c r="BH48" s="9">
        <v>35620</v>
      </c>
      <c r="BI48" s="9">
        <v>35760</v>
      </c>
      <c r="BJ48" s="9">
        <v>35860</v>
      </c>
      <c r="BK48" s="9">
        <v>35930</v>
      </c>
      <c r="BL48" s="9">
        <v>35970</v>
      </c>
      <c r="BM48" s="9">
        <v>35980</v>
      </c>
      <c r="BN48" s="9">
        <v>35960</v>
      </c>
      <c r="BO48" s="9">
        <v>35910</v>
      </c>
    </row>
    <row r="49" spans="3:67" x14ac:dyDescent="0.2">
      <c r="C49" s="3">
        <v>39</v>
      </c>
      <c r="E49" s="9">
        <v>32220</v>
      </c>
      <c r="F49" s="9">
        <v>32560</v>
      </c>
      <c r="G49" s="9">
        <v>33200</v>
      </c>
      <c r="H49" s="9">
        <v>32960</v>
      </c>
      <c r="I49" s="9">
        <v>34140</v>
      </c>
      <c r="J49" s="9">
        <v>33600</v>
      </c>
      <c r="K49" s="9">
        <v>32280</v>
      </c>
      <c r="L49" s="9">
        <v>31070</v>
      </c>
      <c r="M49" s="9">
        <v>29910</v>
      </c>
      <c r="N49" s="9">
        <v>28710</v>
      </c>
      <c r="O49" s="9">
        <v>28770</v>
      </c>
      <c r="P49" s="9">
        <v>28450</v>
      </c>
      <c r="Q49" s="9">
        <v>29310</v>
      </c>
      <c r="R49" s="9">
        <v>29270</v>
      </c>
      <c r="S49" s="9">
        <v>29370</v>
      </c>
      <c r="T49" s="9">
        <v>30050</v>
      </c>
      <c r="U49" s="9">
        <v>30680</v>
      </c>
      <c r="V49" s="9">
        <v>30940</v>
      </c>
      <c r="W49" s="9">
        <v>31520</v>
      </c>
      <c r="X49" s="9">
        <v>31820</v>
      </c>
      <c r="Y49" s="9">
        <v>32720</v>
      </c>
      <c r="Z49" s="9">
        <v>34270</v>
      </c>
      <c r="AA49" s="9">
        <v>34960</v>
      </c>
      <c r="AB49" s="9">
        <v>36580</v>
      </c>
      <c r="AC49" s="9">
        <v>37630</v>
      </c>
      <c r="AD49" s="9">
        <v>36700</v>
      </c>
      <c r="AE49" s="9">
        <v>36680</v>
      </c>
      <c r="AF49" s="9">
        <v>36070</v>
      </c>
      <c r="AG49" s="9">
        <v>36100</v>
      </c>
      <c r="AH49" s="9">
        <v>35530</v>
      </c>
      <c r="AI49" s="9">
        <v>35610</v>
      </c>
      <c r="AJ49" s="9">
        <v>35160</v>
      </c>
      <c r="AK49" s="9">
        <v>34220</v>
      </c>
      <c r="AL49" s="9">
        <v>35120</v>
      </c>
      <c r="AM49" s="9">
        <v>34690</v>
      </c>
      <c r="AN49" s="9">
        <v>33540</v>
      </c>
      <c r="AO49" s="9">
        <v>33220</v>
      </c>
      <c r="AP49" s="9">
        <v>33750</v>
      </c>
      <c r="AQ49" s="9">
        <v>33520</v>
      </c>
      <c r="AR49" s="9">
        <v>34190</v>
      </c>
      <c r="AS49" s="9">
        <v>35380</v>
      </c>
      <c r="AT49" s="9">
        <v>36500</v>
      </c>
      <c r="AU49" s="9">
        <v>36030</v>
      </c>
      <c r="AV49" s="9">
        <v>36760</v>
      </c>
      <c r="AW49" s="9">
        <v>36080</v>
      </c>
      <c r="AX49" s="9">
        <v>35480</v>
      </c>
      <c r="AY49" s="9">
        <v>34860</v>
      </c>
      <c r="AZ49" s="9">
        <v>33870</v>
      </c>
      <c r="BA49" s="9">
        <v>33590</v>
      </c>
      <c r="BB49" s="9">
        <v>33970</v>
      </c>
      <c r="BC49" s="9">
        <v>34290</v>
      </c>
      <c r="BD49" s="9">
        <v>34560</v>
      </c>
      <c r="BE49" s="9">
        <v>34830</v>
      </c>
      <c r="BF49" s="9">
        <v>35090</v>
      </c>
      <c r="BG49" s="9">
        <v>35310</v>
      </c>
      <c r="BH49" s="9">
        <v>35510</v>
      </c>
      <c r="BI49" s="9">
        <v>35680</v>
      </c>
      <c r="BJ49" s="9">
        <v>35820</v>
      </c>
      <c r="BK49" s="9">
        <v>35920</v>
      </c>
      <c r="BL49" s="9">
        <v>35990</v>
      </c>
      <c r="BM49" s="9">
        <v>36030</v>
      </c>
      <c r="BN49" s="9">
        <v>36040</v>
      </c>
      <c r="BO49" s="9">
        <v>36010</v>
      </c>
    </row>
    <row r="50" spans="3:67" x14ac:dyDescent="0.2">
      <c r="C50" s="3">
        <v>40</v>
      </c>
      <c r="E50" s="9">
        <v>32020</v>
      </c>
      <c r="F50" s="9">
        <v>32380</v>
      </c>
      <c r="G50" s="9">
        <v>32680</v>
      </c>
      <c r="H50" s="9">
        <v>33300</v>
      </c>
      <c r="I50" s="9">
        <v>33100</v>
      </c>
      <c r="J50" s="9">
        <v>34190</v>
      </c>
      <c r="K50" s="9">
        <v>33550</v>
      </c>
      <c r="L50" s="9">
        <v>32360</v>
      </c>
      <c r="M50" s="9">
        <v>31240</v>
      </c>
      <c r="N50" s="9">
        <v>30170</v>
      </c>
      <c r="O50" s="9">
        <v>28860</v>
      </c>
      <c r="P50" s="9">
        <v>28800</v>
      </c>
      <c r="Q50" s="9">
        <v>28480</v>
      </c>
      <c r="R50" s="9">
        <v>29340</v>
      </c>
      <c r="S50" s="9">
        <v>29300</v>
      </c>
      <c r="T50" s="9">
        <v>29400</v>
      </c>
      <c r="U50" s="9">
        <v>30090</v>
      </c>
      <c r="V50" s="9">
        <v>30710</v>
      </c>
      <c r="W50" s="9">
        <v>30980</v>
      </c>
      <c r="X50" s="9">
        <v>31560</v>
      </c>
      <c r="Y50" s="9">
        <v>31860</v>
      </c>
      <c r="Z50" s="9">
        <v>32750</v>
      </c>
      <c r="AA50" s="9">
        <v>34300</v>
      </c>
      <c r="AB50" s="9">
        <v>34990</v>
      </c>
      <c r="AC50" s="9">
        <v>36610</v>
      </c>
      <c r="AD50" s="9">
        <v>37660</v>
      </c>
      <c r="AE50" s="9">
        <v>36740</v>
      </c>
      <c r="AF50" s="9">
        <v>36720</v>
      </c>
      <c r="AG50" s="9">
        <v>36100</v>
      </c>
      <c r="AH50" s="9">
        <v>36130</v>
      </c>
      <c r="AI50" s="9">
        <v>35570</v>
      </c>
      <c r="AJ50" s="9">
        <v>35650</v>
      </c>
      <c r="AK50" s="9">
        <v>35200</v>
      </c>
      <c r="AL50" s="9">
        <v>34260</v>
      </c>
      <c r="AM50" s="9">
        <v>35160</v>
      </c>
      <c r="AN50" s="9">
        <v>34730</v>
      </c>
      <c r="AO50" s="9">
        <v>33580</v>
      </c>
      <c r="AP50" s="9">
        <v>33260</v>
      </c>
      <c r="AQ50" s="9">
        <v>33790</v>
      </c>
      <c r="AR50" s="9">
        <v>33560</v>
      </c>
      <c r="AS50" s="9">
        <v>34230</v>
      </c>
      <c r="AT50" s="9">
        <v>35420</v>
      </c>
      <c r="AU50" s="9">
        <v>36540</v>
      </c>
      <c r="AV50" s="9">
        <v>36070</v>
      </c>
      <c r="AW50" s="9">
        <v>36800</v>
      </c>
      <c r="AX50" s="9">
        <v>36120</v>
      </c>
      <c r="AY50" s="9">
        <v>35520</v>
      </c>
      <c r="AZ50" s="9">
        <v>34900</v>
      </c>
      <c r="BA50" s="9">
        <v>33910</v>
      </c>
      <c r="BB50" s="9">
        <v>33630</v>
      </c>
      <c r="BC50" s="9">
        <v>34010</v>
      </c>
      <c r="BD50" s="9">
        <v>34330</v>
      </c>
      <c r="BE50" s="9">
        <v>34610</v>
      </c>
      <c r="BF50" s="9">
        <v>34870</v>
      </c>
      <c r="BG50" s="9">
        <v>35130</v>
      </c>
      <c r="BH50" s="9">
        <v>35360</v>
      </c>
      <c r="BI50" s="9">
        <v>35560</v>
      </c>
      <c r="BJ50" s="9">
        <v>35730</v>
      </c>
      <c r="BK50" s="9">
        <v>35860</v>
      </c>
      <c r="BL50" s="9">
        <v>35960</v>
      </c>
      <c r="BM50" s="9">
        <v>36030</v>
      </c>
      <c r="BN50" s="9">
        <v>36070</v>
      </c>
      <c r="BO50" s="9">
        <v>36080</v>
      </c>
    </row>
    <row r="51" spans="3:67" x14ac:dyDescent="0.2">
      <c r="C51" s="3">
        <v>41</v>
      </c>
      <c r="E51" s="9">
        <v>32420</v>
      </c>
      <c r="F51" s="9">
        <v>32110</v>
      </c>
      <c r="G51" s="9">
        <v>32440</v>
      </c>
      <c r="H51" s="9">
        <v>32740</v>
      </c>
      <c r="I51" s="9">
        <v>33370</v>
      </c>
      <c r="J51" s="9">
        <v>33100</v>
      </c>
      <c r="K51" s="9">
        <v>34190</v>
      </c>
      <c r="L51" s="9">
        <v>33550</v>
      </c>
      <c r="M51" s="9">
        <v>32450</v>
      </c>
      <c r="N51" s="9">
        <v>31480</v>
      </c>
      <c r="O51" s="9">
        <v>30300</v>
      </c>
      <c r="P51" s="9">
        <v>28880</v>
      </c>
      <c r="Q51" s="9">
        <v>28820</v>
      </c>
      <c r="R51" s="9">
        <v>28510</v>
      </c>
      <c r="S51" s="9">
        <v>29370</v>
      </c>
      <c r="T51" s="9">
        <v>29330</v>
      </c>
      <c r="U51" s="9">
        <v>29430</v>
      </c>
      <c r="V51" s="9">
        <v>30110</v>
      </c>
      <c r="W51" s="9">
        <v>30730</v>
      </c>
      <c r="X51" s="9">
        <v>31000</v>
      </c>
      <c r="Y51" s="9">
        <v>31580</v>
      </c>
      <c r="Z51" s="9">
        <v>31880</v>
      </c>
      <c r="AA51" s="9">
        <v>32780</v>
      </c>
      <c r="AB51" s="9">
        <v>34330</v>
      </c>
      <c r="AC51" s="9">
        <v>35020</v>
      </c>
      <c r="AD51" s="9">
        <v>36640</v>
      </c>
      <c r="AE51" s="9">
        <v>37680</v>
      </c>
      <c r="AF51" s="9">
        <v>36760</v>
      </c>
      <c r="AG51" s="9">
        <v>36740</v>
      </c>
      <c r="AH51" s="9">
        <v>36130</v>
      </c>
      <c r="AI51" s="9">
        <v>36160</v>
      </c>
      <c r="AJ51" s="9">
        <v>35590</v>
      </c>
      <c r="AK51" s="9">
        <v>35680</v>
      </c>
      <c r="AL51" s="9">
        <v>35220</v>
      </c>
      <c r="AM51" s="9">
        <v>34290</v>
      </c>
      <c r="AN51" s="9">
        <v>35190</v>
      </c>
      <c r="AO51" s="9">
        <v>34760</v>
      </c>
      <c r="AP51" s="9">
        <v>33610</v>
      </c>
      <c r="AQ51" s="9">
        <v>33290</v>
      </c>
      <c r="AR51" s="9">
        <v>33820</v>
      </c>
      <c r="AS51" s="9">
        <v>33590</v>
      </c>
      <c r="AT51" s="9">
        <v>34260</v>
      </c>
      <c r="AU51" s="9">
        <v>35450</v>
      </c>
      <c r="AV51" s="9">
        <v>36570</v>
      </c>
      <c r="AW51" s="9">
        <v>36100</v>
      </c>
      <c r="AX51" s="9">
        <v>36830</v>
      </c>
      <c r="AY51" s="9">
        <v>36150</v>
      </c>
      <c r="AZ51" s="9">
        <v>35550</v>
      </c>
      <c r="BA51" s="9">
        <v>34940</v>
      </c>
      <c r="BB51" s="9">
        <v>33940</v>
      </c>
      <c r="BC51" s="9">
        <v>33670</v>
      </c>
      <c r="BD51" s="9">
        <v>34050</v>
      </c>
      <c r="BE51" s="9">
        <v>34370</v>
      </c>
      <c r="BF51" s="9">
        <v>34640</v>
      </c>
      <c r="BG51" s="9">
        <v>34910</v>
      </c>
      <c r="BH51" s="9">
        <v>35160</v>
      </c>
      <c r="BI51" s="9">
        <v>35390</v>
      </c>
      <c r="BJ51" s="9">
        <v>35590</v>
      </c>
      <c r="BK51" s="9">
        <v>35760</v>
      </c>
      <c r="BL51" s="9">
        <v>35900</v>
      </c>
      <c r="BM51" s="9">
        <v>36000</v>
      </c>
      <c r="BN51" s="9">
        <v>36070</v>
      </c>
      <c r="BO51" s="9">
        <v>36110</v>
      </c>
    </row>
    <row r="52" spans="3:67" x14ac:dyDescent="0.2">
      <c r="C52" s="3">
        <v>42</v>
      </c>
      <c r="E52" s="9">
        <v>33510</v>
      </c>
      <c r="F52" s="9">
        <v>32510</v>
      </c>
      <c r="G52" s="9">
        <v>32160</v>
      </c>
      <c r="H52" s="9">
        <v>32460</v>
      </c>
      <c r="I52" s="9">
        <v>32800</v>
      </c>
      <c r="J52" s="9">
        <v>33360</v>
      </c>
      <c r="K52" s="9">
        <v>33050</v>
      </c>
      <c r="L52" s="9">
        <v>34240</v>
      </c>
      <c r="M52" s="9">
        <v>33630</v>
      </c>
      <c r="N52" s="9">
        <v>32670</v>
      </c>
      <c r="O52" s="9">
        <v>31590</v>
      </c>
      <c r="P52" s="9">
        <v>30300</v>
      </c>
      <c r="Q52" s="9">
        <v>28890</v>
      </c>
      <c r="R52" s="9">
        <v>28830</v>
      </c>
      <c r="S52" s="9">
        <v>28510</v>
      </c>
      <c r="T52" s="9">
        <v>29370</v>
      </c>
      <c r="U52" s="9">
        <v>29330</v>
      </c>
      <c r="V52" s="9">
        <v>29430</v>
      </c>
      <c r="W52" s="9">
        <v>30120</v>
      </c>
      <c r="X52" s="9">
        <v>30740</v>
      </c>
      <c r="Y52" s="9">
        <v>31010</v>
      </c>
      <c r="Z52" s="9">
        <v>31590</v>
      </c>
      <c r="AA52" s="9">
        <v>31890</v>
      </c>
      <c r="AB52" s="9">
        <v>32790</v>
      </c>
      <c r="AC52" s="9">
        <v>34340</v>
      </c>
      <c r="AD52" s="9">
        <v>35030</v>
      </c>
      <c r="AE52" s="9">
        <v>36650</v>
      </c>
      <c r="AF52" s="9">
        <v>37690</v>
      </c>
      <c r="AG52" s="9">
        <v>36770</v>
      </c>
      <c r="AH52" s="9">
        <v>36750</v>
      </c>
      <c r="AI52" s="9">
        <v>36140</v>
      </c>
      <c r="AJ52" s="9">
        <v>36170</v>
      </c>
      <c r="AK52" s="9">
        <v>35610</v>
      </c>
      <c r="AL52" s="9">
        <v>35690</v>
      </c>
      <c r="AM52" s="9">
        <v>35240</v>
      </c>
      <c r="AN52" s="9">
        <v>34300</v>
      </c>
      <c r="AO52" s="9">
        <v>35200</v>
      </c>
      <c r="AP52" s="9">
        <v>34780</v>
      </c>
      <c r="AQ52" s="9">
        <v>33620</v>
      </c>
      <c r="AR52" s="9">
        <v>33310</v>
      </c>
      <c r="AS52" s="9">
        <v>33840</v>
      </c>
      <c r="AT52" s="9">
        <v>33610</v>
      </c>
      <c r="AU52" s="9">
        <v>34280</v>
      </c>
      <c r="AV52" s="9">
        <v>35470</v>
      </c>
      <c r="AW52" s="9">
        <v>36590</v>
      </c>
      <c r="AX52" s="9">
        <v>36120</v>
      </c>
      <c r="AY52" s="9">
        <v>36850</v>
      </c>
      <c r="AZ52" s="9">
        <v>36170</v>
      </c>
      <c r="BA52" s="9">
        <v>35570</v>
      </c>
      <c r="BB52" s="9">
        <v>34950</v>
      </c>
      <c r="BC52" s="9">
        <v>33960</v>
      </c>
      <c r="BD52" s="9">
        <v>33690</v>
      </c>
      <c r="BE52" s="9">
        <v>34070</v>
      </c>
      <c r="BF52" s="9">
        <v>34390</v>
      </c>
      <c r="BG52" s="9">
        <v>34660</v>
      </c>
      <c r="BH52" s="9">
        <v>34930</v>
      </c>
      <c r="BI52" s="9">
        <v>35180</v>
      </c>
      <c r="BJ52" s="9">
        <v>35410</v>
      </c>
      <c r="BK52" s="9">
        <v>35610</v>
      </c>
      <c r="BL52" s="9">
        <v>35780</v>
      </c>
      <c r="BM52" s="9">
        <v>35920</v>
      </c>
      <c r="BN52" s="9">
        <v>36020</v>
      </c>
      <c r="BO52" s="9">
        <v>36090</v>
      </c>
    </row>
    <row r="53" spans="3:67" x14ac:dyDescent="0.2">
      <c r="C53" s="3">
        <v>43</v>
      </c>
      <c r="E53" s="9">
        <v>34420</v>
      </c>
      <c r="F53" s="9">
        <v>33610</v>
      </c>
      <c r="G53" s="9">
        <v>32450</v>
      </c>
      <c r="H53" s="9">
        <v>32140</v>
      </c>
      <c r="I53" s="9">
        <v>32540</v>
      </c>
      <c r="J53" s="9">
        <v>32750</v>
      </c>
      <c r="K53" s="9">
        <v>33270</v>
      </c>
      <c r="L53" s="9">
        <v>33070</v>
      </c>
      <c r="M53" s="9">
        <v>34320</v>
      </c>
      <c r="N53" s="9">
        <v>33820</v>
      </c>
      <c r="O53" s="9">
        <v>32750</v>
      </c>
      <c r="P53" s="9">
        <v>31570</v>
      </c>
      <c r="Q53" s="9">
        <v>30290</v>
      </c>
      <c r="R53" s="9">
        <v>28870</v>
      </c>
      <c r="S53" s="9">
        <v>28820</v>
      </c>
      <c r="T53" s="9">
        <v>28500</v>
      </c>
      <c r="U53" s="9">
        <v>29360</v>
      </c>
      <c r="V53" s="9">
        <v>29320</v>
      </c>
      <c r="W53" s="9">
        <v>29420</v>
      </c>
      <c r="X53" s="9">
        <v>30110</v>
      </c>
      <c r="Y53" s="9">
        <v>30730</v>
      </c>
      <c r="Z53" s="9">
        <v>31000</v>
      </c>
      <c r="AA53" s="9">
        <v>31580</v>
      </c>
      <c r="AB53" s="9">
        <v>31880</v>
      </c>
      <c r="AC53" s="9">
        <v>32770</v>
      </c>
      <c r="AD53" s="9">
        <v>34320</v>
      </c>
      <c r="AE53" s="9">
        <v>35020</v>
      </c>
      <c r="AF53" s="9">
        <v>36630</v>
      </c>
      <c r="AG53" s="9">
        <v>37680</v>
      </c>
      <c r="AH53" s="9">
        <v>36760</v>
      </c>
      <c r="AI53" s="9">
        <v>36740</v>
      </c>
      <c r="AJ53" s="9">
        <v>36130</v>
      </c>
      <c r="AK53" s="9">
        <v>36160</v>
      </c>
      <c r="AL53" s="9">
        <v>35600</v>
      </c>
      <c r="AM53" s="9">
        <v>35680</v>
      </c>
      <c r="AN53" s="9">
        <v>35230</v>
      </c>
      <c r="AO53" s="9">
        <v>34300</v>
      </c>
      <c r="AP53" s="9">
        <v>35190</v>
      </c>
      <c r="AQ53" s="9">
        <v>34770</v>
      </c>
      <c r="AR53" s="9">
        <v>33620</v>
      </c>
      <c r="AS53" s="9">
        <v>33300</v>
      </c>
      <c r="AT53" s="9">
        <v>33830</v>
      </c>
      <c r="AU53" s="9">
        <v>33600</v>
      </c>
      <c r="AV53" s="9">
        <v>34270</v>
      </c>
      <c r="AW53" s="9">
        <v>35470</v>
      </c>
      <c r="AX53" s="9">
        <v>36580</v>
      </c>
      <c r="AY53" s="9">
        <v>36110</v>
      </c>
      <c r="AZ53" s="9">
        <v>36850</v>
      </c>
      <c r="BA53" s="9">
        <v>36160</v>
      </c>
      <c r="BB53" s="9">
        <v>35570</v>
      </c>
      <c r="BC53" s="9">
        <v>34950</v>
      </c>
      <c r="BD53" s="9">
        <v>33960</v>
      </c>
      <c r="BE53" s="9">
        <v>33680</v>
      </c>
      <c r="BF53" s="9">
        <v>34070</v>
      </c>
      <c r="BG53" s="9">
        <v>34390</v>
      </c>
      <c r="BH53" s="9">
        <v>34660</v>
      </c>
      <c r="BI53" s="9">
        <v>34930</v>
      </c>
      <c r="BJ53" s="9">
        <v>35180</v>
      </c>
      <c r="BK53" s="9">
        <v>35410</v>
      </c>
      <c r="BL53" s="9">
        <v>35610</v>
      </c>
      <c r="BM53" s="9">
        <v>35780</v>
      </c>
      <c r="BN53" s="9">
        <v>35920</v>
      </c>
      <c r="BO53" s="9">
        <v>36020</v>
      </c>
    </row>
    <row r="54" spans="3:67" x14ac:dyDescent="0.2">
      <c r="C54" s="3">
        <v>44</v>
      </c>
      <c r="E54" s="9">
        <v>34170</v>
      </c>
      <c r="F54" s="9">
        <v>34490</v>
      </c>
      <c r="G54" s="9">
        <v>33560</v>
      </c>
      <c r="H54" s="9">
        <v>32440</v>
      </c>
      <c r="I54" s="9">
        <v>32160</v>
      </c>
      <c r="J54" s="9">
        <v>32530</v>
      </c>
      <c r="K54" s="9">
        <v>32680</v>
      </c>
      <c r="L54" s="9">
        <v>33180</v>
      </c>
      <c r="M54" s="9">
        <v>33170</v>
      </c>
      <c r="N54" s="9">
        <v>34470</v>
      </c>
      <c r="O54" s="9">
        <v>33880</v>
      </c>
      <c r="P54" s="9">
        <v>32710</v>
      </c>
      <c r="Q54" s="9">
        <v>31530</v>
      </c>
      <c r="R54" s="9">
        <v>30250</v>
      </c>
      <c r="S54" s="9">
        <v>28830</v>
      </c>
      <c r="T54" s="9">
        <v>28780</v>
      </c>
      <c r="U54" s="9">
        <v>28470</v>
      </c>
      <c r="V54" s="9">
        <v>29330</v>
      </c>
      <c r="W54" s="9">
        <v>29290</v>
      </c>
      <c r="X54" s="9">
        <v>29390</v>
      </c>
      <c r="Y54" s="9">
        <v>30080</v>
      </c>
      <c r="Z54" s="9">
        <v>30700</v>
      </c>
      <c r="AA54" s="9">
        <v>30960</v>
      </c>
      <c r="AB54" s="9">
        <v>31550</v>
      </c>
      <c r="AC54" s="9">
        <v>31850</v>
      </c>
      <c r="AD54" s="9">
        <v>32740</v>
      </c>
      <c r="AE54" s="9">
        <v>34290</v>
      </c>
      <c r="AF54" s="9">
        <v>34980</v>
      </c>
      <c r="AG54" s="9">
        <v>36600</v>
      </c>
      <c r="AH54" s="9">
        <v>37650</v>
      </c>
      <c r="AI54" s="9">
        <v>36730</v>
      </c>
      <c r="AJ54" s="9">
        <v>36710</v>
      </c>
      <c r="AK54" s="9">
        <v>36100</v>
      </c>
      <c r="AL54" s="9">
        <v>36130</v>
      </c>
      <c r="AM54" s="9">
        <v>35570</v>
      </c>
      <c r="AN54" s="9">
        <v>35650</v>
      </c>
      <c r="AO54" s="9">
        <v>35200</v>
      </c>
      <c r="AP54" s="9">
        <v>34270</v>
      </c>
      <c r="AQ54" s="9">
        <v>35170</v>
      </c>
      <c r="AR54" s="9">
        <v>34740</v>
      </c>
      <c r="AS54" s="9">
        <v>33590</v>
      </c>
      <c r="AT54" s="9">
        <v>33280</v>
      </c>
      <c r="AU54" s="9">
        <v>33810</v>
      </c>
      <c r="AV54" s="9">
        <v>33580</v>
      </c>
      <c r="AW54" s="9">
        <v>34250</v>
      </c>
      <c r="AX54" s="9">
        <v>35440</v>
      </c>
      <c r="AY54" s="9">
        <v>36560</v>
      </c>
      <c r="AZ54" s="9">
        <v>36090</v>
      </c>
      <c r="BA54" s="9">
        <v>36820</v>
      </c>
      <c r="BB54" s="9">
        <v>36140</v>
      </c>
      <c r="BC54" s="9">
        <v>35550</v>
      </c>
      <c r="BD54" s="9">
        <v>34930</v>
      </c>
      <c r="BE54" s="9">
        <v>33940</v>
      </c>
      <c r="BF54" s="9">
        <v>33660</v>
      </c>
      <c r="BG54" s="9">
        <v>34040</v>
      </c>
      <c r="BH54" s="9">
        <v>34370</v>
      </c>
      <c r="BI54" s="9">
        <v>34640</v>
      </c>
      <c r="BJ54" s="9">
        <v>34900</v>
      </c>
      <c r="BK54" s="9">
        <v>35160</v>
      </c>
      <c r="BL54" s="9">
        <v>35390</v>
      </c>
      <c r="BM54" s="9">
        <v>35590</v>
      </c>
      <c r="BN54" s="9">
        <v>35760</v>
      </c>
      <c r="BO54" s="9">
        <v>35900</v>
      </c>
    </row>
    <row r="55" spans="3:67" x14ac:dyDescent="0.2">
      <c r="C55" s="3">
        <v>45</v>
      </c>
      <c r="E55" s="9">
        <v>33510</v>
      </c>
      <c r="F55" s="9">
        <v>34170</v>
      </c>
      <c r="G55" s="9">
        <v>34370</v>
      </c>
      <c r="H55" s="9">
        <v>33510</v>
      </c>
      <c r="I55" s="9">
        <v>32390</v>
      </c>
      <c r="J55" s="9">
        <v>32090</v>
      </c>
      <c r="K55" s="9">
        <v>32440</v>
      </c>
      <c r="L55" s="9">
        <v>32650</v>
      </c>
      <c r="M55" s="9">
        <v>33190</v>
      </c>
      <c r="N55" s="9">
        <v>33290</v>
      </c>
      <c r="O55" s="9">
        <v>34500</v>
      </c>
      <c r="P55" s="9">
        <v>33810</v>
      </c>
      <c r="Q55" s="9">
        <v>32650</v>
      </c>
      <c r="R55" s="9">
        <v>31470</v>
      </c>
      <c r="S55" s="9">
        <v>30190</v>
      </c>
      <c r="T55" s="9">
        <v>28780</v>
      </c>
      <c r="U55" s="9">
        <v>28730</v>
      </c>
      <c r="V55" s="9">
        <v>28410</v>
      </c>
      <c r="W55" s="9">
        <v>29270</v>
      </c>
      <c r="X55" s="9">
        <v>29230</v>
      </c>
      <c r="Y55" s="9">
        <v>29340</v>
      </c>
      <c r="Z55" s="9">
        <v>30020</v>
      </c>
      <c r="AA55" s="9">
        <v>30640</v>
      </c>
      <c r="AB55" s="9">
        <v>30910</v>
      </c>
      <c r="AC55" s="9">
        <v>31490</v>
      </c>
      <c r="AD55" s="9">
        <v>31790</v>
      </c>
      <c r="AE55" s="9">
        <v>32690</v>
      </c>
      <c r="AF55" s="9">
        <v>34240</v>
      </c>
      <c r="AG55" s="9">
        <v>34930</v>
      </c>
      <c r="AH55" s="9">
        <v>36540</v>
      </c>
      <c r="AI55" s="9">
        <v>37590</v>
      </c>
      <c r="AJ55" s="9">
        <v>36670</v>
      </c>
      <c r="AK55" s="9">
        <v>36650</v>
      </c>
      <c r="AL55" s="9">
        <v>36050</v>
      </c>
      <c r="AM55" s="9">
        <v>36080</v>
      </c>
      <c r="AN55" s="9">
        <v>35520</v>
      </c>
      <c r="AO55" s="9">
        <v>35600</v>
      </c>
      <c r="AP55" s="9">
        <v>35150</v>
      </c>
      <c r="AQ55" s="9">
        <v>34220</v>
      </c>
      <c r="AR55" s="9">
        <v>35120</v>
      </c>
      <c r="AS55" s="9">
        <v>34690</v>
      </c>
      <c r="AT55" s="9">
        <v>33540</v>
      </c>
      <c r="AU55" s="9">
        <v>33230</v>
      </c>
      <c r="AV55" s="9">
        <v>33760</v>
      </c>
      <c r="AW55" s="9">
        <v>33540</v>
      </c>
      <c r="AX55" s="9">
        <v>34200</v>
      </c>
      <c r="AY55" s="9">
        <v>35400</v>
      </c>
      <c r="AZ55" s="9">
        <v>36510</v>
      </c>
      <c r="BA55" s="9">
        <v>36040</v>
      </c>
      <c r="BB55" s="9">
        <v>36780</v>
      </c>
      <c r="BC55" s="9">
        <v>36090</v>
      </c>
      <c r="BD55" s="9">
        <v>35500</v>
      </c>
      <c r="BE55" s="9">
        <v>34890</v>
      </c>
      <c r="BF55" s="9">
        <v>33900</v>
      </c>
      <c r="BG55" s="9">
        <v>33620</v>
      </c>
      <c r="BH55" s="9">
        <v>34000</v>
      </c>
      <c r="BI55" s="9">
        <v>34320</v>
      </c>
      <c r="BJ55" s="9">
        <v>34600</v>
      </c>
      <c r="BK55" s="9">
        <v>34860</v>
      </c>
      <c r="BL55" s="9">
        <v>35120</v>
      </c>
      <c r="BM55" s="9">
        <v>35350</v>
      </c>
      <c r="BN55" s="9">
        <v>35550</v>
      </c>
      <c r="BO55" s="9">
        <v>35720</v>
      </c>
    </row>
    <row r="56" spans="3:67" x14ac:dyDescent="0.2">
      <c r="C56" s="3">
        <v>46</v>
      </c>
      <c r="E56" s="9">
        <v>31920</v>
      </c>
      <c r="F56" s="9">
        <v>33480</v>
      </c>
      <c r="G56" s="9">
        <v>34110</v>
      </c>
      <c r="H56" s="9">
        <v>34280</v>
      </c>
      <c r="I56" s="9">
        <v>33480</v>
      </c>
      <c r="J56" s="9">
        <v>32280</v>
      </c>
      <c r="K56" s="9">
        <v>31920</v>
      </c>
      <c r="L56" s="9">
        <v>32390</v>
      </c>
      <c r="M56" s="9">
        <v>32640</v>
      </c>
      <c r="N56" s="9">
        <v>33290</v>
      </c>
      <c r="O56" s="9">
        <v>33300</v>
      </c>
      <c r="P56" s="9">
        <v>34410</v>
      </c>
      <c r="Q56" s="9">
        <v>33730</v>
      </c>
      <c r="R56" s="9">
        <v>32560</v>
      </c>
      <c r="S56" s="9">
        <v>31390</v>
      </c>
      <c r="T56" s="9">
        <v>30110</v>
      </c>
      <c r="U56" s="9">
        <v>28700</v>
      </c>
      <c r="V56" s="9">
        <v>28650</v>
      </c>
      <c r="W56" s="9">
        <v>28340</v>
      </c>
      <c r="X56" s="9">
        <v>29200</v>
      </c>
      <c r="Y56" s="9">
        <v>29160</v>
      </c>
      <c r="Z56" s="9">
        <v>29260</v>
      </c>
      <c r="AA56" s="9">
        <v>29950</v>
      </c>
      <c r="AB56" s="9">
        <v>30570</v>
      </c>
      <c r="AC56" s="9">
        <v>30840</v>
      </c>
      <c r="AD56" s="9">
        <v>31420</v>
      </c>
      <c r="AE56" s="9">
        <v>31720</v>
      </c>
      <c r="AF56" s="9">
        <v>32620</v>
      </c>
      <c r="AG56" s="9">
        <v>34160</v>
      </c>
      <c r="AH56" s="9">
        <v>34860</v>
      </c>
      <c r="AI56" s="9">
        <v>36470</v>
      </c>
      <c r="AJ56" s="9">
        <v>37520</v>
      </c>
      <c r="AK56" s="9">
        <v>36600</v>
      </c>
      <c r="AL56" s="9">
        <v>36580</v>
      </c>
      <c r="AM56" s="9">
        <v>35980</v>
      </c>
      <c r="AN56" s="9">
        <v>36010</v>
      </c>
      <c r="AO56" s="9">
        <v>35450</v>
      </c>
      <c r="AP56" s="9">
        <v>35530</v>
      </c>
      <c r="AQ56" s="9">
        <v>35080</v>
      </c>
      <c r="AR56" s="9">
        <v>34160</v>
      </c>
      <c r="AS56" s="9">
        <v>35050</v>
      </c>
      <c r="AT56" s="9">
        <v>34630</v>
      </c>
      <c r="AU56" s="9">
        <v>33480</v>
      </c>
      <c r="AV56" s="9">
        <v>33170</v>
      </c>
      <c r="AW56" s="9">
        <v>33700</v>
      </c>
      <c r="AX56" s="9">
        <v>33470</v>
      </c>
      <c r="AY56" s="9">
        <v>34140</v>
      </c>
      <c r="AZ56" s="9">
        <v>35330</v>
      </c>
      <c r="BA56" s="9">
        <v>36450</v>
      </c>
      <c r="BB56" s="9">
        <v>35980</v>
      </c>
      <c r="BC56" s="9">
        <v>36710</v>
      </c>
      <c r="BD56" s="9">
        <v>36030</v>
      </c>
      <c r="BE56" s="9">
        <v>35440</v>
      </c>
      <c r="BF56" s="9">
        <v>34830</v>
      </c>
      <c r="BG56" s="9">
        <v>33840</v>
      </c>
      <c r="BH56" s="9">
        <v>33560</v>
      </c>
      <c r="BI56" s="9">
        <v>33950</v>
      </c>
      <c r="BJ56" s="9">
        <v>34270</v>
      </c>
      <c r="BK56" s="9">
        <v>34540</v>
      </c>
      <c r="BL56" s="9">
        <v>34810</v>
      </c>
      <c r="BM56" s="9">
        <v>35060</v>
      </c>
      <c r="BN56" s="9">
        <v>35290</v>
      </c>
      <c r="BO56" s="9">
        <v>35490</v>
      </c>
    </row>
    <row r="57" spans="3:67" x14ac:dyDescent="0.2">
      <c r="C57" s="3">
        <v>47</v>
      </c>
      <c r="E57" s="9">
        <v>31370</v>
      </c>
      <c r="F57" s="9">
        <v>31900</v>
      </c>
      <c r="G57" s="9">
        <v>33410</v>
      </c>
      <c r="H57" s="9">
        <v>34030</v>
      </c>
      <c r="I57" s="9">
        <v>34240</v>
      </c>
      <c r="J57" s="9">
        <v>33400</v>
      </c>
      <c r="K57" s="9">
        <v>32110</v>
      </c>
      <c r="L57" s="9">
        <v>31790</v>
      </c>
      <c r="M57" s="9">
        <v>32330</v>
      </c>
      <c r="N57" s="9">
        <v>32700</v>
      </c>
      <c r="O57" s="9">
        <v>33260</v>
      </c>
      <c r="P57" s="9">
        <v>33190</v>
      </c>
      <c r="Q57" s="9">
        <v>34300</v>
      </c>
      <c r="R57" s="9">
        <v>33620</v>
      </c>
      <c r="S57" s="9">
        <v>32460</v>
      </c>
      <c r="T57" s="9">
        <v>31290</v>
      </c>
      <c r="U57" s="9">
        <v>30010</v>
      </c>
      <c r="V57" s="9">
        <v>28610</v>
      </c>
      <c r="W57" s="9">
        <v>28560</v>
      </c>
      <c r="X57" s="9">
        <v>28250</v>
      </c>
      <c r="Y57" s="9">
        <v>29110</v>
      </c>
      <c r="Z57" s="9">
        <v>29070</v>
      </c>
      <c r="AA57" s="9">
        <v>29170</v>
      </c>
      <c r="AB57" s="9">
        <v>29860</v>
      </c>
      <c r="AC57" s="9">
        <v>30480</v>
      </c>
      <c r="AD57" s="9">
        <v>30750</v>
      </c>
      <c r="AE57" s="9">
        <v>31330</v>
      </c>
      <c r="AF57" s="9">
        <v>31630</v>
      </c>
      <c r="AG57" s="9">
        <v>32530</v>
      </c>
      <c r="AH57" s="9">
        <v>34070</v>
      </c>
      <c r="AI57" s="9">
        <v>34770</v>
      </c>
      <c r="AJ57" s="9">
        <v>36380</v>
      </c>
      <c r="AK57" s="9">
        <v>37430</v>
      </c>
      <c r="AL57" s="9">
        <v>36510</v>
      </c>
      <c r="AM57" s="9">
        <v>36490</v>
      </c>
      <c r="AN57" s="9">
        <v>35890</v>
      </c>
      <c r="AO57" s="9">
        <v>35920</v>
      </c>
      <c r="AP57" s="9">
        <v>35360</v>
      </c>
      <c r="AQ57" s="9">
        <v>35450</v>
      </c>
      <c r="AR57" s="9">
        <v>35000</v>
      </c>
      <c r="AS57" s="9">
        <v>34070</v>
      </c>
      <c r="AT57" s="9">
        <v>34970</v>
      </c>
      <c r="AU57" s="9">
        <v>34550</v>
      </c>
      <c r="AV57" s="9">
        <v>33400</v>
      </c>
      <c r="AW57" s="9">
        <v>33090</v>
      </c>
      <c r="AX57" s="9">
        <v>33620</v>
      </c>
      <c r="AY57" s="9">
        <v>33390</v>
      </c>
      <c r="AZ57" s="9">
        <v>34060</v>
      </c>
      <c r="BA57" s="9">
        <v>35250</v>
      </c>
      <c r="BB57" s="9">
        <v>36370</v>
      </c>
      <c r="BC57" s="9">
        <v>35900</v>
      </c>
      <c r="BD57" s="9">
        <v>36640</v>
      </c>
      <c r="BE57" s="9">
        <v>35960</v>
      </c>
      <c r="BF57" s="9">
        <v>35370</v>
      </c>
      <c r="BG57" s="9">
        <v>34750</v>
      </c>
      <c r="BH57" s="9">
        <v>33760</v>
      </c>
      <c r="BI57" s="9">
        <v>33490</v>
      </c>
      <c r="BJ57" s="9">
        <v>33870</v>
      </c>
      <c r="BK57" s="9">
        <v>34190</v>
      </c>
      <c r="BL57" s="9">
        <v>34460</v>
      </c>
      <c r="BM57" s="9">
        <v>34730</v>
      </c>
      <c r="BN57" s="9">
        <v>34990</v>
      </c>
      <c r="BO57" s="9">
        <v>35220</v>
      </c>
    </row>
    <row r="58" spans="3:67" x14ac:dyDescent="0.2">
      <c r="C58" s="3">
        <v>48</v>
      </c>
      <c r="E58" s="9">
        <v>29970</v>
      </c>
      <c r="F58" s="9">
        <v>31320</v>
      </c>
      <c r="G58" s="9">
        <v>31780</v>
      </c>
      <c r="H58" s="9">
        <v>33320</v>
      </c>
      <c r="I58" s="9">
        <v>33960</v>
      </c>
      <c r="J58" s="9">
        <v>34130</v>
      </c>
      <c r="K58" s="9">
        <v>33190</v>
      </c>
      <c r="L58" s="9">
        <v>31970</v>
      </c>
      <c r="M58" s="9">
        <v>31730</v>
      </c>
      <c r="N58" s="9">
        <v>32360</v>
      </c>
      <c r="O58" s="9">
        <v>32650</v>
      </c>
      <c r="P58" s="9">
        <v>33140</v>
      </c>
      <c r="Q58" s="9">
        <v>33070</v>
      </c>
      <c r="R58" s="9">
        <v>34180</v>
      </c>
      <c r="S58" s="9">
        <v>33500</v>
      </c>
      <c r="T58" s="9">
        <v>32350</v>
      </c>
      <c r="U58" s="9">
        <v>31180</v>
      </c>
      <c r="V58" s="9">
        <v>29910</v>
      </c>
      <c r="W58" s="9">
        <v>28500</v>
      </c>
      <c r="X58" s="9">
        <v>28450</v>
      </c>
      <c r="Y58" s="9">
        <v>28140</v>
      </c>
      <c r="Z58" s="9">
        <v>29000</v>
      </c>
      <c r="AA58" s="9">
        <v>28970</v>
      </c>
      <c r="AB58" s="9">
        <v>29070</v>
      </c>
      <c r="AC58" s="9">
        <v>29760</v>
      </c>
      <c r="AD58" s="9">
        <v>30380</v>
      </c>
      <c r="AE58" s="9">
        <v>30650</v>
      </c>
      <c r="AF58" s="9">
        <v>31230</v>
      </c>
      <c r="AG58" s="9">
        <v>31530</v>
      </c>
      <c r="AH58" s="9">
        <v>32430</v>
      </c>
      <c r="AI58" s="9">
        <v>33970</v>
      </c>
      <c r="AJ58" s="9">
        <v>34670</v>
      </c>
      <c r="AK58" s="9">
        <v>36280</v>
      </c>
      <c r="AL58" s="9">
        <v>37330</v>
      </c>
      <c r="AM58" s="9">
        <v>36410</v>
      </c>
      <c r="AN58" s="9">
        <v>36400</v>
      </c>
      <c r="AO58" s="9">
        <v>35790</v>
      </c>
      <c r="AP58" s="9">
        <v>35820</v>
      </c>
      <c r="AQ58" s="9">
        <v>35270</v>
      </c>
      <c r="AR58" s="9">
        <v>35350</v>
      </c>
      <c r="AS58" s="9">
        <v>34900</v>
      </c>
      <c r="AT58" s="9">
        <v>33980</v>
      </c>
      <c r="AU58" s="9">
        <v>34880</v>
      </c>
      <c r="AV58" s="9">
        <v>34460</v>
      </c>
      <c r="AW58" s="9">
        <v>33310</v>
      </c>
      <c r="AX58" s="9">
        <v>33000</v>
      </c>
      <c r="AY58" s="9">
        <v>33530</v>
      </c>
      <c r="AZ58" s="9">
        <v>33300</v>
      </c>
      <c r="BA58" s="9">
        <v>33970</v>
      </c>
      <c r="BB58" s="9">
        <v>35160</v>
      </c>
      <c r="BC58" s="9">
        <v>36280</v>
      </c>
      <c r="BD58" s="9">
        <v>35810</v>
      </c>
      <c r="BE58" s="9">
        <v>36550</v>
      </c>
      <c r="BF58" s="9">
        <v>35870</v>
      </c>
      <c r="BG58" s="9">
        <v>35280</v>
      </c>
      <c r="BH58" s="9">
        <v>34660</v>
      </c>
      <c r="BI58" s="9">
        <v>33670</v>
      </c>
      <c r="BJ58" s="9">
        <v>33400</v>
      </c>
      <c r="BK58" s="9">
        <v>33790</v>
      </c>
      <c r="BL58" s="9">
        <v>34110</v>
      </c>
      <c r="BM58" s="9">
        <v>34380</v>
      </c>
      <c r="BN58" s="9">
        <v>34650</v>
      </c>
      <c r="BO58" s="9">
        <v>34910</v>
      </c>
    </row>
    <row r="59" spans="3:67" x14ac:dyDescent="0.2">
      <c r="C59" s="3">
        <v>49</v>
      </c>
      <c r="E59" s="9">
        <v>29280</v>
      </c>
      <c r="F59" s="9">
        <v>29840</v>
      </c>
      <c r="G59" s="9">
        <v>31230</v>
      </c>
      <c r="H59" s="9">
        <v>31700</v>
      </c>
      <c r="I59" s="9">
        <v>33260</v>
      </c>
      <c r="J59" s="9">
        <v>33830</v>
      </c>
      <c r="K59" s="9">
        <v>33930</v>
      </c>
      <c r="L59" s="9">
        <v>33100</v>
      </c>
      <c r="M59" s="9">
        <v>31900</v>
      </c>
      <c r="N59" s="9">
        <v>31750</v>
      </c>
      <c r="O59" s="9">
        <v>32300</v>
      </c>
      <c r="P59" s="9">
        <v>32520</v>
      </c>
      <c r="Q59" s="9">
        <v>33010</v>
      </c>
      <c r="R59" s="9">
        <v>32950</v>
      </c>
      <c r="S59" s="9">
        <v>34060</v>
      </c>
      <c r="T59" s="9">
        <v>33380</v>
      </c>
      <c r="U59" s="9">
        <v>32230</v>
      </c>
      <c r="V59" s="9">
        <v>31060</v>
      </c>
      <c r="W59" s="9">
        <v>29790</v>
      </c>
      <c r="X59" s="9">
        <v>28390</v>
      </c>
      <c r="Y59" s="9">
        <v>28340</v>
      </c>
      <c r="Z59" s="9">
        <v>28040</v>
      </c>
      <c r="AA59" s="9">
        <v>28890</v>
      </c>
      <c r="AB59" s="9">
        <v>28860</v>
      </c>
      <c r="AC59" s="9">
        <v>28960</v>
      </c>
      <c r="AD59" s="9">
        <v>29650</v>
      </c>
      <c r="AE59" s="9">
        <v>30270</v>
      </c>
      <c r="AF59" s="9">
        <v>30540</v>
      </c>
      <c r="AG59" s="9">
        <v>31120</v>
      </c>
      <c r="AH59" s="9">
        <v>31430</v>
      </c>
      <c r="AI59" s="9">
        <v>32320</v>
      </c>
      <c r="AJ59" s="9">
        <v>33870</v>
      </c>
      <c r="AK59" s="9">
        <v>34560</v>
      </c>
      <c r="AL59" s="9">
        <v>36170</v>
      </c>
      <c r="AM59" s="9">
        <v>37220</v>
      </c>
      <c r="AN59" s="9">
        <v>36310</v>
      </c>
      <c r="AO59" s="9">
        <v>36290</v>
      </c>
      <c r="AP59" s="9">
        <v>35690</v>
      </c>
      <c r="AQ59" s="9">
        <v>35720</v>
      </c>
      <c r="AR59" s="9">
        <v>35160</v>
      </c>
      <c r="AS59" s="9">
        <v>35250</v>
      </c>
      <c r="AT59" s="9">
        <v>34800</v>
      </c>
      <c r="AU59" s="9">
        <v>33880</v>
      </c>
      <c r="AV59" s="9">
        <v>34780</v>
      </c>
      <c r="AW59" s="9">
        <v>34360</v>
      </c>
      <c r="AX59" s="9">
        <v>33210</v>
      </c>
      <c r="AY59" s="9">
        <v>32900</v>
      </c>
      <c r="AZ59" s="9">
        <v>33430</v>
      </c>
      <c r="BA59" s="9">
        <v>33210</v>
      </c>
      <c r="BB59" s="9">
        <v>33880</v>
      </c>
      <c r="BC59" s="9">
        <v>35070</v>
      </c>
      <c r="BD59" s="9">
        <v>36190</v>
      </c>
      <c r="BE59" s="9">
        <v>35720</v>
      </c>
      <c r="BF59" s="9">
        <v>36450</v>
      </c>
      <c r="BG59" s="9">
        <v>35770</v>
      </c>
      <c r="BH59" s="9">
        <v>35180</v>
      </c>
      <c r="BI59" s="9">
        <v>34570</v>
      </c>
      <c r="BJ59" s="9">
        <v>33580</v>
      </c>
      <c r="BK59" s="9">
        <v>33310</v>
      </c>
      <c r="BL59" s="9">
        <v>33690</v>
      </c>
      <c r="BM59" s="9">
        <v>34020</v>
      </c>
      <c r="BN59" s="9">
        <v>34290</v>
      </c>
      <c r="BO59" s="9">
        <v>34560</v>
      </c>
    </row>
    <row r="60" spans="3:67" x14ac:dyDescent="0.2">
      <c r="C60" s="3">
        <v>50</v>
      </c>
      <c r="E60" s="9">
        <v>28580</v>
      </c>
      <c r="F60" s="9">
        <v>29200</v>
      </c>
      <c r="G60" s="9">
        <v>29730</v>
      </c>
      <c r="H60" s="9">
        <v>31150</v>
      </c>
      <c r="I60" s="9">
        <v>31650</v>
      </c>
      <c r="J60" s="9">
        <v>33090</v>
      </c>
      <c r="K60" s="9">
        <v>33640</v>
      </c>
      <c r="L60" s="9">
        <v>33790</v>
      </c>
      <c r="M60" s="9">
        <v>33040</v>
      </c>
      <c r="N60" s="9">
        <v>31910</v>
      </c>
      <c r="O60" s="9">
        <v>31690</v>
      </c>
      <c r="P60" s="9">
        <v>32170</v>
      </c>
      <c r="Q60" s="9">
        <v>32390</v>
      </c>
      <c r="R60" s="9">
        <v>32880</v>
      </c>
      <c r="S60" s="9">
        <v>32820</v>
      </c>
      <c r="T60" s="9">
        <v>33930</v>
      </c>
      <c r="U60" s="9">
        <v>33250</v>
      </c>
      <c r="V60" s="9">
        <v>32100</v>
      </c>
      <c r="W60" s="9">
        <v>30940</v>
      </c>
      <c r="X60" s="9">
        <v>29670</v>
      </c>
      <c r="Y60" s="9">
        <v>28280</v>
      </c>
      <c r="Z60" s="9">
        <v>28230</v>
      </c>
      <c r="AA60" s="9">
        <v>27920</v>
      </c>
      <c r="AB60" s="9">
        <v>28780</v>
      </c>
      <c r="AC60" s="9">
        <v>28750</v>
      </c>
      <c r="AD60" s="9">
        <v>28850</v>
      </c>
      <c r="AE60" s="9">
        <v>29540</v>
      </c>
      <c r="AF60" s="9">
        <v>30160</v>
      </c>
      <c r="AG60" s="9">
        <v>30430</v>
      </c>
      <c r="AH60" s="9">
        <v>31010</v>
      </c>
      <c r="AI60" s="9">
        <v>31320</v>
      </c>
      <c r="AJ60" s="9">
        <v>32210</v>
      </c>
      <c r="AK60" s="9">
        <v>33750</v>
      </c>
      <c r="AL60" s="9">
        <v>34450</v>
      </c>
      <c r="AM60" s="9">
        <v>36060</v>
      </c>
      <c r="AN60" s="9">
        <v>37110</v>
      </c>
      <c r="AO60" s="9">
        <v>36200</v>
      </c>
      <c r="AP60" s="9">
        <v>36180</v>
      </c>
      <c r="AQ60" s="9">
        <v>35580</v>
      </c>
      <c r="AR60" s="9">
        <v>35610</v>
      </c>
      <c r="AS60" s="9">
        <v>35060</v>
      </c>
      <c r="AT60" s="9">
        <v>35140</v>
      </c>
      <c r="AU60" s="9">
        <v>34700</v>
      </c>
      <c r="AV60" s="9">
        <v>33780</v>
      </c>
      <c r="AW60" s="9">
        <v>34670</v>
      </c>
      <c r="AX60" s="9">
        <v>34250</v>
      </c>
      <c r="AY60" s="9">
        <v>33110</v>
      </c>
      <c r="AZ60" s="9">
        <v>32800</v>
      </c>
      <c r="BA60" s="9">
        <v>33330</v>
      </c>
      <c r="BB60" s="9">
        <v>33110</v>
      </c>
      <c r="BC60" s="9">
        <v>33780</v>
      </c>
      <c r="BD60" s="9">
        <v>34970</v>
      </c>
      <c r="BE60" s="9">
        <v>36090</v>
      </c>
      <c r="BF60" s="9">
        <v>35620</v>
      </c>
      <c r="BG60" s="9">
        <v>36350</v>
      </c>
      <c r="BH60" s="9">
        <v>35680</v>
      </c>
      <c r="BI60" s="9">
        <v>35090</v>
      </c>
      <c r="BJ60" s="9">
        <v>34480</v>
      </c>
      <c r="BK60" s="9">
        <v>33490</v>
      </c>
      <c r="BL60" s="9">
        <v>33220</v>
      </c>
      <c r="BM60" s="9">
        <v>33600</v>
      </c>
      <c r="BN60" s="9">
        <v>33920</v>
      </c>
      <c r="BO60" s="9">
        <v>34200</v>
      </c>
    </row>
    <row r="61" spans="3:67" x14ac:dyDescent="0.2">
      <c r="C61" s="3">
        <v>51</v>
      </c>
      <c r="E61" s="9">
        <v>27550</v>
      </c>
      <c r="F61" s="9">
        <v>28490</v>
      </c>
      <c r="G61" s="9">
        <v>29090</v>
      </c>
      <c r="H61" s="9">
        <v>29610</v>
      </c>
      <c r="I61" s="9">
        <v>31090</v>
      </c>
      <c r="J61" s="9">
        <v>31520</v>
      </c>
      <c r="K61" s="9">
        <v>32950</v>
      </c>
      <c r="L61" s="9">
        <v>33500</v>
      </c>
      <c r="M61" s="9">
        <v>33700</v>
      </c>
      <c r="N61" s="9">
        <v>33030</v>
      </c>
      <c r="O61" s="9">
        <v>31830</v>
      </c>
      <c r="P61" s="9">
        <v>31550</v>
      </c>
      <c r="Q61" s="9">
        <v>32040</v>
      </c>
      <c r="R61" s="9">
        <v>32260</v>
      </c>
      <c r="S61" s="9">
        <v>32750</v>
      </c>
      <c r="T61" s="9">
        <v>32690</v>
      </c>
      <c r="U61" s="9">
        <v>33800</v>
      </c>
      <c r="V61" s="9">
        <v>33130</v>
      </c>
      <c r="W61" s="9">
        <v>31980</v>
      </c>
      <c r="X61" s="9">
        <v>30820</v>
      </c>
      <c r="Y61" s="9">
        <v>29550</v>
      </c>
      <c r="Z61" s="9">
        <v>28160</v>
      </c>
      <c r="AA61" s="9">
        <v>28120</v>
      </c>
      <c r="AB61" s="9">
        <v>27810</v>
      </c>
      <c r="AC61" s="9">
        <v>28670</v>
      </c>
      <c r="AD61" s="9">
        <v>28640</v>
      </c>
      <c r="AE61" s="9">
        <v>28740</v>
      </c>
      <c r="AF61" s="9">
        <v>29430</v>
      </c>
      <c r="AG61" s="9">
        <v>30050</v>
      </c>
      <c r="AH61" s="9">
        <v>30320</v>
      </c>
      <c r="AI61" s="9">
        <v>30900</v>
      </c>
      <c r="AJ61" s="9">
        <v>31210</v>
      </c>
      <c r="AK61" s="9">
        <v>32100</v>
      </c>
      <c r="AL61" s="9">
        <v>33650</v>
      </c>
      <c r="AM61" s="9">
        <v>34340</v>
      </c>
      <c r="AN61" s="9">
        <v>35950</v>
      </c>
      <c r="AO61" s="9">
        <v>37000</v>
      </c>
      <c r="AP61" s="9">
        <v>36090</v>
      </c>
      <c r="AQ61" s="9">
        <v>36070</v>
      </c>
      <c r="AR61" s="9">
        <v>35470</v>
      </c>
      <c r="AS61" s="9">
        <v>35510</v>
      </c>
      <c r="AT61" s="9">
        <v>34950</v>
      </c>
      <c r="AU61" s="9">
        <v>35040</v>
      </c>
      <c r="AV61" s="9">
        <v>34600</v>
      </c>
      <c r="AW61" s="9">
        <v>33680</v>
      </c>
      <c r="AX61" s="9">
        <v>34570</v>
      </c>
      <c r="AY61" s="9">
        <v>34160</v>
      </c>
      <c r="AZ61" s="9">
        <v>33010</v>
      </c>
      <c r="BA61" s="9">
        <v>32700</v>
      </c>
      <c r="BB61" s="9">
        <v>33240</v>
      </c>
      <c r="BC61" s="9">
        <v>33010</v>
      </c>
      <c r="BD61" s="9">
        <v>33680</v>
      </c>
      <c r="BE61" s="9">
        <v>34870</v>
      </c>
      <c r="BF61" s="9">
        <v>35990</v>
      </c>
      <c r="BG61" s="9">
        <v>35530</v>
      </c>
      <c r="BH61" s="9">
        <v>36260</v>
      </c>
      <c r="BI61" s="9">
        <v>35580</v>
      </c>
      <c r="BJ61" s="9">
        <v>35000</v>
      </c>
      <c r="BK61" s="9">
        <v>34380</v>
      </c>
      <c r="BL61" s="9">
        <v>33400</v>
      </c>
      <c r="BM61" s="9">
        <v>33130</v>
      </c>
      <c r="BN61" s="9">
        <v>33510</v>
      </c>
      <c r="BO61" s="9">
        <v>33830</v>
      </c>
    </row>
    <row r="62" spans="3:67" x14ac:dyDescent="0.2">
      <c r="C62" s="3">
        <v>52</v>
      </c>
      <c r="E62" s="9">
        <v>26780</v>
      </c>
      <c r="F62" s="9">
        <v>27430</v>
      </c>
      <c r="G62" s="9">
        <v>28360</v>
      </c>
      <c r="H62" s="9">
        <v>28970</v>
      </c>
      <c r="I62" s="9">
        <v>29570</v>
      </c>
      <c r="J62" s="9">
        <v>30970</v>
      </c>
      <c r="K62" s="9">
        <v>31340</v>
      </c>
      <c r="L62" s="9">
        <v>32770</v>
      </c>
      <c r="M62" s="9">
        <v>33420</v>
      </c>
      <c r="N62" s="9">
        <v>33690</v>
      </c>
      <c r="O62" s="9">
        <v>32960</v>
      </c>
      <c r="P62" s="9">
        <v>31710</v>
      </c>
      <c r="Q62" s="9">
        <v>31430</v>
      </c>
      <c r="R62" s="9">
        <v>31910</v>
      </c>
      <c r="S62" s="9">
        <v>32140</v>
      </c>
      <c r="T62" s="9">
        <v>32630</v>
      </c>
      <c r="U62" s="9">
        <v>32570</v>
      </c>
      <c r="V62" s="9">
        <v>33680</v>
      </c>
      <c r="W62" s="9">
        <v>33010</v>
      </c>
      <c r="X62" s="9">
        <v>31870</v>
      </c>
      <c r="Y62" s="9">
        <v>30700</v>
      </c>
      <c r="Z62" s="9">
        <v>29450</v>
      </c>
      <c r="AA62" s="9">
        <v>28060</v>
      </c>
      <c r="AB62" s="9">
        <v>28010</v>
      </c>
      <c r="AC62" s="9">
        <v>27710</v>
      </c>
      <c r="AD62" s="9">
        <v>28570</v>
      </c>
      <c r="AE62" s="9">
        <v>28530</v>
      </c>
      <c r="AF62" s="9">
        <v>28640</v>
      </c>
      <c r="AG62" s="9">
        <v>29330</v>
      </c>
      <c r="AH62" s="9">
        <v>29950</v>
      </c>
      <c r="AI62" s="9">
        <v>30220</v>
      </c>
      <c r="AJ62" s="9">
        <v>30810</v>
      </c>
      <c r="AK62" s="9">
        <v>31110</v>
      </c>
      <c r="AL62" s="9">
        <v>32000</v>
      </c>
      <c r="AM62" s="9">
        <v>33550</v>
      </c>
      <c r="AN62" s="9">
        <v>34240</v>
      </c>
      <c r="AO62" s="9">
        <v>35850</v>
      </c>
      <c r="AP62" s="9">
        <v>36900</v>
      </c>
      <c r="AQ62" s="9">
        <v>35990</v>
      </c>
      <c r="AR62" s="9">
        <v>35980</v>
      </c>
      <c r="AS62" s="9">
        <v>35380</v>
      </c>
      <c r="AT62" s="9">
        <v>35410</v>
      </c>
      <c r="AU62" s="9">
        <v>34860</v>
      </c>
      <c r="AV62" s="9">
        <v>34950</v>
      </c>
      <c r="AW62" s="9">
        <v>34510</v>
      </c>
      <c r="AX62" s="9">
        <v>33590</v>
      </c>
      <c r="AY62" s="9">
        <v>34480</v>
      </c>
      <c r="AZ62" s="9">
        <v>34070</v>
      </c>
      <c r="BA62" s="9">
        <v>32930</v>
      </c>
      <c r="BB62" s="9">
        <v>32620</v>
      </c>
      <c r="BC62" s="9">
        <v>33150</v>
      </c>
      <c r="BD62" s="9">
        <v>32930</v>
      </c>
      <c r="BE62" s="9">
        <v>33600</v>
      </c>
      <c r="BF62" s="9">
        <v>34790</v>
      </c>
      <c r="BG62" s="9">
        <v>35910</v>
      </c>
      <c r="BH62" s="9">
        <v>35440</v>
      </c>
      <c r="BI62" s="9">
        <v>36170</v>
      </c>
      <c r="BJ62" s="9">
        <v>35500</v>
      </c>
      <c r="BK62" s="9">
        <v>34910</v>
      </c>
      <c r="BL62" s="9">
        <v>34300</v>
      </c>
      <c r="BM62" s="9">
        <v>33320</v>
      </c>
      <c r="BN62" s="9">
        <v>33050</v>
      </c>
      <c r="BO62" s="9">
        <v>33430</v>
      </c>
    </row>
    <row r="63" spans="3:67" x14ac:dyDescent="0.2">
      <c r="C63" s="3">
        <v>53</v>
      </c>
      <c r="E63" s="9">
        <v>25610</v>
      </c>
      <c r="F63" s="9">
        <v>26710</v>
      </c>
      <c r="G63" s="9">
        <v>27350</v>
      </c>
      <c r="H63" s="9">
        <v>28270</v>
      </c>
      <c r="I63" s="9">
        <v>28970</v>
      </c>
      <c r="J63" s="9">
        <v>29410</v>
      </c>
      <c r="K63" s="9">
        <v>30830</v>
      </c>
      <c r="L63" s="9">
        <v>31240</v>
      </c>
      <c r="M63" s="9">
        <v>32720</v>
      </c>
      <c r="N63" s="9">
        <v>33420</v>
      </c>
      <c r="O63" s="9">
        <v>33620</v>
      </c>
      <c r="P63" s="9">
        <v>32840</v>
      </c>
      <c r="Q63" s="9">
        <v>31590</v>
      </c>
      <c r="R63" s="9">
        <v>31310</v>
      </c>
      <c r="S63" s="9">
        <v>31800</v>
      </c>
      <c r="T63" s="9">
        <v>32020</v>
      </c>
      <c r="U63" s="9">
        <v>32520</v>
      </c>
      <c r="V63" s="9">
        <v>32460</v>
      </c>
      <c r="W63" s="9">
        <v>33570</v>
      </c>
      <c r="X63" s="9">
        <v>32900</v>
      </c>
      <c r="Y63" s="9">
        <v>31760</v>
      </c>
      <c r="Z63" s="9">
        <v>30600</v>
      </c>
      <c r="AA63" s="9">
        <v>29350</v>
      </c>
      <c r="AB63" s="9">
        <v>27960</v>
      </c>
      <c r="AC63" s="9">
        <v>27920</v>
      </c>
      <c r="AD63" s="9">
        <v>27620</v>
      </c>
      <c r="AE63" s="9">
        <v>28480</v>
      </c>
      <c r="AF63" s="9">
        <v>28450</v>
      </c>
      <c r="AG63" s="9">
        <v>28550</v>
      </c>
      <c r="AH63" s="9">
        <v>29240</v>
      </c>
      <c r="AI63" s="9">
        <v>29860</v>
      </c>
      <c r="AJ63" s="9">
        <v>30140</v>
      </c>
      <c r="AK63" s="9">
        <v>30720</v>
      </c>
      <c r="AL63" s="9">
        <v>31030</v>
      </c>
      <c r="AM63" s="9">
        <v>31920</v>
      </c>
      <c r="AN63" s="9">
        <v>33460</v>
      </c>
      <c r="AO63" s="9">
        <v>34150</v>
      </c>
      <c r="AP63" s="9">
        <v>35760</v>
      </c>
      <c r="AQ63" s="9">
        <v>36810</v>
      </c>
      <c r="AR63" s="9">
        <v>35910</v>
      </c>
      <c r="AS63" s="9">
        <v>35890</v>
      </c>
      <c r="AT63" s="9">
        <v>35300</v>
      </c>
      <c r="AU63" s="9">
        <v>35330</v>
      </c>
      <c r="AV63" s="9">
        <v>34780</v>
      </c>
      <c r="AW63" s="9">
        <v>34870</v>
      </c>
      <c r="AX63" s="9">
        <v>34430</v>
      </c>
      <c r="AY63" s="9">
        <v>33510</v>
      </c>
      <c r="AZ63" s="9">
        <v>34410</v>
      </c>
      <c r="BA63" s="9">
        <v>33990</v>
      </c>
      <c r="BB63" s="9">
        <v>32850</v>
      </c>
      <c r="BC63" s="9">
        <v>32550</v>
      </c>
      <c r="BD63" s="9">
        <v>33080</v>
      </c>
      <c r="BE63" s="9">
        <v>32860</v>
      </c>
      <c r="BF63" s="9">
        <v>33530</v>
      </c>
      <c r="BG63" s="9">
        <v>34720</v>
      </c>
      <c r="BH63" s="9">
        <v>35830</v>
      </c>
      <c r="BI63" s="9">
        <v>35370</v>
      </c>
      <c r="BJ63" s="9">
        <v>36100</v>
      </c>
      <c r="BK63" s="9">
        <v>35430</v>
      </c>
      <c r="BL63" s="9">
        <v>34840</v>
      </c>
      <c r="BM63" s="9">
        <v>34230</v>
      </c>
      <c r="BN63" s="9">
        <v>33250</v>
      </c>
      <c r="BO63" s="9">
        <v>32980</v>
      </c>
    </row>
    <row r="64" spans="3:67" x14ac:dyDescent="0.2">
      <c r="C64" s="3">
        <v>54</v>
      </c>
      <c r="E64" s="9">
        <v>25210</v>
      </c>
      <c r="F64" s="9">
        <v>25540</v>
      </c>
      <c r="G64" s="9">
        <v>26610</v>
      </c>
      <c r="H64" s="9">
        <v>27230</v>
      </c>
      <c r="I64" s="9">
        <v>28220</v>
      </c>
      <c r="J64" s="9">
        <v>28900</v>
      </c>
      <c r="K64" s="9">
        <v>29320</v>
      </c>
      <c r="L64" s="9">
        <v>30700</v>
      </c>
      <c r="M64" s="9">
        <v>31170</v>
      </c>
      <c r="N64" s="9">
        <v>32720</v>
      </c>
      <c r="O64" s="9">
        <v>33360</v>
      </c>
      <c r="P64" s="9">
        <v>33510</v>
      </c>
      <c r="Q64" s="9">
        <v>32730</v>
      </c>
      <c r="R64" s="9">
        <v>31490</v>
      </c>
      <c r="S64" s="9">
        <v>31210</v>
      </c>
      <c r="T64" s="9">
        <v>31700</v>
      </c>
      <c r="U64" s="9">
        <v>31930</v>
      </c>
      <c r="V64" s="9">
        <v>32420</v>
      </c>
      <c r="W64" s="9">
        <v>32360</v>
      </c>
      <c r="X64" s="9">
        <v>33470</v>
      </c>
      <c r="Y64" s="9">
        <v>32810</v>
      </c>
      <c r="Z64" s="9">
        <v>31670</v>
      </c>
      <c r="AA64" s="9">
        <v>30520</v>
      </c>
      <c r="AB64" s="9">
        <v>29270</v>
      </c>
      <c r="AC64" s="9">
        <v>27890</v>
      </c>
      <c r="AD64" s="9">
        <v>27840</v>
      </c>
      <c r="AE64" s="9">
        <v>27540</v>
      </c>
      <c r="AF64" s="9">
        <v>28400</v>
      </c>
      <c r="AG64" s="9">
        <v>28370</v>
      </c>
      <c r="AH64" s="9">
        <v>28480</v>
      </c>
      <c r="AI64" s="9">
        <v>29170</v>
      </c>
      <c r="AJ64" s="9">
        <v>29790</v>
      </c>
      <c r="AK64" s="9">
        <v>30060</v>
      </c>
      <c r="AL64" s="9">
        <v>30650</v>
      </c>
      <c r="AM64" s="9">
        <v>30950</v>
      </c>
      <c r="AN64" s="9">
        <v>31850</v>
      </c>
      <c r="AO64" s="9">
        <v>33390</v>
      </c>
      <c r="AP64" s="9">
        <v>34080</v>
      </c>
      <c r="AQ64" s="9">
        <v>35690</v>
      </c>
      <c r="AR64" s="9">
        <v>36740</v>
      </c>
      <c r="AS64" s="9">
        <v>35840</v>
      </c>
      <c r="AT64" s="9">
        <v>35820</v>
      </c>
      <c r="AU64" s="9">
        <v>35230</v>
      </c>
      <c r="AV64" s="9">
        <v>35260</v>
      </c>
      <c r="AW64" s="9">
        <v>34720</v>
      </c>
      <c r="AX64" s="9">
        <v>34810</v>
      </c>
      <c r="AY64" s="9">
        <v>34370</v>
      </c>
      <c r="AZ64" s="9">
        <v>33450</v>
      </c>
      <c r="BA64" s="9">
        <v>34350</v>
      </c>
      <c r="BB64" s="9">
        <v>33930</v>
      </c>
      <c r="BC64" s="9">
        <v>32790</v>
      </c>
      <c r="BD64" s="9">
        <v>32490</v>
      </c>
      <c r="BE64" s="9">
        <v>33020</v>
      </c>
      <c r="BF64" s="9">
        <v>32800</v>
      </c>
      <c r="BG64" s="9">
        <v>33470</v>
      </c>
      <c r="BH64" s="9">
        <v>34660</v>
      </c>
      <c r="BI64" s="9">
        <v>35780</v>
      </c>
      <c r="BJ64" s="9">
        <v>35310</v>
      </c>
      <c r="BK64" s="9">
        <v>36050</v>
      </c>
      <c r="BL64" s="9">
        <v>35370</v>
      </c>
      <c r="BM64" s="9">
        <v>34790</v>
      </c>
      <c r="BN64" s="9">
        <v>34180</v>
      </c>
      <c r="BO64" s="9">
        <v>33200</v>
      </c>
    </row>
    <row r="65" spans="3:67" x14ac:dyDescent="0.2">
      <c r="C65" s="3">
        <v>55</v>
      </c>
      <c r="E65" s="9">
        <v>24770</v>
      </c>
      <c r="F65" s="9">
        <v>25110</v>
      </c>
      <c r="G65" s="9">
        <v>25500</v>
      </c>
      <c r="H65" s="9">
        <v>26580</v>
      </c>
      <c r="I65" s="9">
        <v>27210</v>
      </c>
      <c r="J65" s="9">
        <v>28110</v>
      </c>
      <c r="K65" s="9">
        <v>28840</v>
      </c>
      <c r="L65" s="9">
        <v>29230</v>
      </c>
      <c r="M65" s="9">
        <v>30650</v>
      </c>
      <c r="N65" s="9">
        <v>31180</v>
      </c>
      <c r="O65" s="9">
        <v>32680</v>
      </c>
      <c r="P65" s="9">
        <v>33260</v>
      </c>
      <c r="Q65" s="9">
        <v>33410</v>
      </c>
      <c r="R65" s="9">
        <v>32640</v>
      </c>
      <c r="S65" s="9">
        <v>31400</v>
      </c>
      <c r="T65" s="9">
        <v>31130</v>
      </c>
      <c r="U65" s="9">
        <v>31620</v>
      </c>
      <c r="V65" s="9">
        <v>31840</v>
      </c>
      <c r="W65" s="9">
        <v>32340</v>
      </c>
      <c r="X65" s="9">
        <v>32280</v>
      </c>
      <c r="Y65" s="9">
        <v>33390</v>
      </c>
      <c r="Z65" s="9">
        <v>32730</v>
      </c>
      <c r="AA65" s="9">
        <v>31600</v>
      </c>
      <c r="AB65" s="9">
        <v>30450</v>
      </c>
      <c r="AC65" s="9">
        <v>29200</v>
      </c>
      <c r="AD65" s="9">
        <v>27820</v>
      </c>
      <c r="AE65" s="9">
        <v>27780</v>
      </c>
      <c r="AF65" s="9">
        <v>27480</v>
      </c>
      <c r="AG65" s="9">
        <v>28340</v>
      </c>
      <c r="AH65" s="9">
        <v>28310</v>
      </c>
      <c r="AI65" s="9">
        <v>28420</v>
      </c>
      <c r="AJ65" s="9">
        <v>29110</v>
      </c>
      <c r="AK65" s="9">
        <v>29740</v>
      </c>
      <c r="AL65" s="9">
        <v>30010</v>
      </c>
      <c r="AM65" s="9">
        <v>30590</v>
      </c>
      <c r="AN65" s="9">
        <v>30900</v>
      </c>
      <c r="AO65" s="9">
        <v>31790</v>
      </c>
      <c r="AP65" s="9">
        <v>33330</v>
      </c>
      <c r="AQ65" s="9">
        <v>34030</v>
      </c>
      <c r="AR65" s="9">
        <v>35640</v>
      </c>
      <c r="AS65" s="9">
        <v>36680</v>
      </c>
      <c r="AT65" s="9">
        <v>35780</v>
      </c>
      <c r="AU65" s="9">
        <v>35770</v>
      </c>
      <c r="AV65" s="9">
        <v>35180</v>
      </c>
      <c r="AW65" s="9">
        <v>35220</v>
      </c>
      <c r="AX65" s="9">
        <v>34670</v>
      </c>
      <c r="AY65" s="9">
        <v>34760</v>
      </c>
      <c r="AZ65" s="9">
        <v>34320</v>
      </c>
      <c r="BA65" s="9">
        <v>33410</v>
      </c>
      <c r="BB65" s="9">
        <v>34300</v>
      </c>
      <c r="BC65" s="9">
        <v>33890</v>
      </c>
      <c r="BD65" s="9">
        <v>32750</v>
      </c>
      <c r="BE65" s="9">
        <v>32450</v>
      </c>
      <c r="BF65" s="9">
        <v>32980</v>
      </c>
      <c r="BG65" s="9">
        <v>32760</v>
      </c>
      <c r="BH65" s="9">
        <v>33430</v>
      </c>
      <c r="BI65" s="9">
        <v>34620</v>
      </c>
      <c r="BJ65" s="9">
        <v>35740</v>
      </c>
      <c r="BK65" s="9">
        <v>35280</v>
      </c>
      <c r="BL65" s="9">
        <v>36010</v>
      </c>
      <c r="BM65" s="9">
        <v>35340</v>
      </c>
      <c r="BN65" s="9">
        <v>34750</v>
      </c>
      <c r="BO65" s="9">
        <v>34150</v>
      </c>
    </row>
    <row r="66" spans="3:67" x14ac:dyDescent="0.2">
      <c r="C66" s="3">
        <v>56</v>
      </c>
      <c r="E66" s="9">
        <v>24930</v>
      </c>
      <c r="F66" s="9">
        <v>24730</v>
      </c>
      <c r="G66" s="9">
        <v>25040</v>
      </c>
      <c r="H66" s="9">
        <v>25500</v>
      </c>
      <c r="I66" s="9">
        <v>26570</v>
      </c>
      <c r="J66" s="9">
        <v>27160</v>
      </c>
      <c r="K66" s="9">
        <v>28040</v>
      </c>
      <c r="L66" s="9">
        <v>28790</v>
      </c>
      <c r="M66" s="9">
        <v>29210</v>
      </c>
      <c r="N66" s="9">
        <v>30680</v>
      </c>
      <c r="O66" s="9">
        <v>31150</v>
      </c>
      <c r="P66" s="9">
        <v>32590</v>
      </c>
      <c r="Q66" s="9">
        <v>33170</v>
      </c>
      <c r="R66" s="9">
        <v>33330</v>
      </c>
      <c r="S66" s="9">
        <v>32550</v>
      </c>
      <c r="T66" s="9">
        <v>31320</v>
      </c>
      <c r="U66" s="9">
        <v>31060</v>
      </c>
      <c r="V66" s="9">
        <v>31550</v>
      </c>
      <c r="W66" s="9">
        <v>31770</v>
      </c>
      <c r="X66" s="9">
        <v>32270</v>
      </c>
      <c r="Y66" s="9">
        <v>32220</v>
      </c>
      <c r="Z66" s="9">
        <v>33320</v>
      </c>
      <c r="AA66" s="9">
        <v>32670</v>
      </c>
      <c r="AB66" s="9">
        <v>31540</v>
      </c>
      <c r="AC66" s="9">
        <v>30390</v>
      </c>
      <c r="AD66" s="9">
        <v>29150</v>
      </c>
      <c r="AE66" s="9">
        <v>27780</v>
      </c>
      <c r="AF66" s="9">
        <v>27740</v>
      </c>
      <c r="AG66" s="9">
        <v>27440</v>
      </c>
      <c r="AH66" s="9">
        <v>28300</v>
      </c>
      <c r="AI66" s="9">
        <v>28270</v>
      </c>
      <c r="AJ66" s="9">
        <v>28380</v>
      </c>
      <c r="AK66" s="9">
        <v>29070</v>
      </c>
      <c r="AL66" s="9">
        <v>29700</v>
      </c>
      <c r="AM66" s="9">
        <v>29970</v>
      </c>
      <c r="AN66" s="9">
        <v>30550</v>
      </c>
      <c r="AO66" s="9">
        <v>30860</v>
      </c>
      <c r="AP66" s="9">
        <v>31750</v>
      </c>
      <c r="AQ66" s="9">
        <v>33290</v>
      </c>
      <c r="AR66" s="9">
        <v>33990</v>
      </c>
      <c r="AS66" s="9">
        <v>35600</v>
      </c>
      <c r="AT66" s="9">
        <v>36640</v>
      </c>
      <c r="AU66" s="9">
        <v>35740</v>
      </c>
      <c r="AV66" s="9">
        <v>35730</v>
      </c>
      <c r="AW66" s="9">
        <v>35140</v>
      </c>
      <c r="AX66" s="9">
        <v>35180</v>
      </c>
      <c r="AY66" s="9">
        <v>34640</v>
      </c>
      <c r="AZ66" s="9">
        <v>34730</v>
      </c>
      <c r="BA66" s="9">
        <v>34290</v>
      </c>
      <c r="BB66" s="9">
        <v>33380</v>
      </c>
      <c r="BC66" s="9">
        <v>34270</v>
      </c>
      <c r="BD66" s="9">
        <v>33860</v>
      </c>
      <c r="BE66" s="9">
        <v>32730</v>
      </c>
      <c r="BF66" s="9">
        <v>32420</v>
      </c>
      <c r="BG66" s="9">
        <v>32950</v>
      </c>
      <c r="BH66" s="9">
        <v>32740</v>
      </c>
      <c r="BI66" s="9">
        <v>33410</v>
      </c>
      <c r="BJ66" s="9">
        <v>34600</v>
      </c>
      <c r="BK66" s="9">
        <v>35710</v>
      </c>
      <c r="BL66" s="9">
        <v>35250</v>
      </c>
      <c r="BM66" s="9">
        <v>35990</v>
      </c>
      <c r="BN66" s="9">
        <v>35320</v>
      </c>
      <c r="BO66" s="9">
        <v>34730</v>
      </c>
    </row>
    <row r="67" spans="3:67" x14ac:dyDescent="0.2">
      <c r="C67" s="3">
        <v>57</v>
      </c>
      <c r="E67" s="9">
        <v>24090</v>
      </c>
      <c r="F67" s="9">
        <v>24850</v>
      </c>
      <c r="G67" s="9">
        <v>24680</v>
      </c>
      <c r="H67" s="9">
        <v>25000</v>
      </c>
      <c r="I67" s="9">
        <v>25510</v>
      </c>
      <c r="J67" s="9">
        <v>26540</v>
      </c>
      <c r="K67" s="9">
        <v>27140</v>
      </c>
      <c r="L67" s="9">
        <v>27970</v>
      </c>
      <c r="M67" s="9">
        <v>28750</v>
      </c>
      <c r="N67" s="9">
        <v>29240</v>
      </c>
      <c r="O67" s="9">
        <v>30650</v>
      </c>
      <c r="P67" s="9">
        <v>31080</v>
      </c>
      <c r="Q67" s="9">
        <v>32510</v>
      </c>
      <c r="R67" s="9">
        <v>33100</v>
      </c>
      <c r="S67" s="9">
        <v>33250</v>
      </c>
      <c r="T67" s="9">
        <v>32490</v>
      </c>
      <c r="U67" s="9">
        <v>31260</v>
      </c>
      <c r="V67" s="9">
        <v>31000</v>
      </c>
      <c r="W67" s="9">
        <v>31490</v>
      </c>
      <c r="X67" s="9">
        <v>31720</v>
      </c>
      <c r="Y67" s="9">
        <v>32210</v>
      </c>
      <c r="Z67" s="9">
        <v>32160</v>
      </c>
      <c r="AA67" s="9">
        <v>33270</v>
      </c>
      <c r="AB67" s="9">
        <v>32620</v>
      </c>
      <c r="AC67" s="9">
        <v>31490</v>
      </c>
      <c r="AD67" s="9">
        <v>30350</v>
      </c>
      <c r="AE67" s="9">
        <v>29110</v>
      </c>
      <c r="AF67" s="9">
        <v>27740</v>
      </c>
      <c r="AG67" s="9">
        <v>27700</v>
      </c>
      <c r="AH67" s="9">
        <v>27410</v>
      </c>
      <c r="AI67" s="9">
        <v>28270</v>
      </c>
      <c r="AJ67" s="9">
        <v>28240</v>
      </c>
      <c r="AK67" s="9">
        <v>28350</v>
      </c>
      <c r="AL67" s="9">
        <v>29040</v>
      </c>
      <c r="AM67" s="9">
        <v>29670</v>
      </c>
      <c r="AN67" s="9">
        <v>29940</v>
      </c>
      <c r="AO67" s="9">
        <v>30530</v>
      </c>
      <c r="AP67" s="9">
        <v>30830</v>
      </c>
      <c r="AQ67" s="9">
        <v>31730</v>
      </c>
      <c r="AR67" s="9">
        <v>33270</v>
      </c>
      <c r="AS67" s="9">
        <v>33960</v>
      </c>
      <c r="AT67" s="9">
        <v>35570</v>
      </c>
      <c r="AU67" s="9">
        <v>36610</v>
      </c>
      <c r="AV67" s="9">
        <v>35720</v>
      </c>
      <c r="AW67" s="9">
        <v>35710</v>
      </c>
      <c r="AX67" s="9">
        <v>35120</v>
      </c>
      <c r="AY67" s="9">
        <v>35160</v>
      </c>
      <c r="AZ67" s="9">
        <v>34620</v>
      </c>
      <c r="BA67" s="9">
        <v>34710</v>
      </c>
      <c r="BB67" s="9">
        <v>34270</v>
      </c>
      <c r="BC67" s="9">
        <v>33360</v>
      </c>
      <c r="BD67" s="9">
        <v>34260</v>
      </c>
      <c r="BE67" s="9">
        <v>33850</v>
      </c>
      <c r="BF67" s="9">
        <v>32710</v>
      </c>
      <c r="BG67" s="9">
        <v>32410</v>
      </c>
      <c r="BH67" s="9">
        <v>32940</v>
      </c>
      <c r="BI67" s="9">
        <v>32730</v>
      </c>
      <c r="BJ67" s="9">
        <v>33400</v>
      </c>
      <c r="BK67" s="9">
        <v>34590</v>
      </c>
      <c r="BL67" s="9">
        <v>35700</v>
      </c>
      <c r="BM67" s="9">
        <v>35240</v>
      </c>
      <c r="BN67" s="9">
        <v>35980</v>
      </c>
      <c r="BO67" s="9">
        <v>35310</v>
      </c>
    </row>
    <row r="68" spans="3:67" x14ac:dyDescent="0.2">
      <c r="C68" s="3">
        <v>58</v>
      </c>
      <c r="E68" s="9">
        <v>24480</v>
      </c>
      <c r="F68" s="9">
        <v>24050</v>
      </c>
      <c r="G68" s="9">
        <v>24700</v>
      </c>
      <c r="H68" s="9">
        <v>24570</v>
      </c>
      <c r="I68" s="9">
        <v>25000</v>
      </c>
      <c r="J68" s="9">
        <v>25480</v>
      </c>
      <c r="K68" s="9">
        <v>26530</v>
      </c>
      <c r="L68" s="9">
        <v>27100</v>
      </c>
      <c r="M68" s="9">
        <v>27950</v>
      </c>
      <c r="N68" s="9">
        <v>28800</v>
      </c>
      <c r="O68" s="9">
        <v>29240</v>
      </c>
      <c r="P68" s="9">
        <v>30590</v>
      </c>
      <c r="Q68" s="9">
        <v>31010</v>
      </c>
      <c r="R68" s="9">
        <v>32450</v>
      </c>
      <c r="S68" s="9">
        <v>33030</v>
      </c>
      <c r="T68" s="9">
        <v>33190</v>
      </c>
      <c r="U68" s="9">
        <v>32430</v>
      </c>
      <c r="V68" s="9">
        <v>31210</v>
      </c>
      <c r="W68" s="9">
        <v>30950</v>
      </c>
      <c r="X68" s="9">
        <v>31440</v>
      </c>
      <c r="Y68" s="9">
        <v>31670</v>
      </c>
      <c r="Z68" s="9">
        <v>32170</v>
      </c>
      <c r="AA68" s="9">
        <v>32120</v>
      </c>
      <c r="AB68" s="9">
        <v>33230</v>
      </c>
      <c r="AC68" s="9">
        <v>32580</v>
      </c>
      <c r="AD68" s="9">
        <v>31460</v>
      </c>
      <c r="AE68" s="9">
        <v>30320</v>
      </c>
      <c r="AF68" s="9">
        <v>29090</v>
      </c>
      <c r="AG68" s="9">
        <v>27720</v>
      </c>
      <c r="AH68" s="9">
        <v>27680</v>
      </c>
      <c r="AI68" s="9">
        <v>27390</v>
      </c>
      <c r="AJ68" s="9">
        <v>28250</v>
      </c>
      <c r="AK68" s="9">
        <v>28230</v>
      </c>
      <c r="AL68" s="9">
        <v>28340</v>
      </c>
      <c r="AM68" s="9">
        <v>29030</v>
      </c>
      <c r="AN68" s="9">
        <v>29650</v>
      </c>
      <c r="AO68" s="9">
        <v>29930</v>
      </c>
      <c r="AP68" s="9">
        <v>30510</v>
      </c>
      <c r="AQ68" s="9">
        <v>30820</v>
      </c>
      <c r="AR68" s="9">
        <v>31720</v>
      </c>
      <c r="AS68" s="9">
        <v>33250</v>
      </c>
      <c r="AT68" s="9">
        <v>33950</v>
      </c>
      <c r="AU68" s="9">
        <v>35560</v>
      </c>
      <c r="AV68" s="9">
        <v>36600</v>
      </c>
      <c r="AW68" s="9">
        <v>35710</v>
      </c>
      <c r="AX68" s="9">
        <v>35700</v>
      </c>
      <c r="AY68" s="9">
        <v>35110</v>
      </c>
      <c r="AZ68" s="9">
        <v>35150</v>
      </c>
      <c r="BA68" s="9">
        <v>34610</v>
      </c>
      <c r="BB68" s="9">
        <v>34700</v>
      </c>
      <c r="BC68" s="9">
        <v>34270</v>
      </c>
      <c r="BD68" s="9">
        <v>33360</v>
      </c>
      <c r="BE68" s="9">
        <v>34260</v>
      </c>
      <c r="BF68" s="9">
        <v>33850</v>
      </c>
      <c r="BG68" s="9">
        <v>32720</v>
      </c>
      <c r="BH68" s="9">
        <v>32420</v>
      </c>
      <c r="BI68" s="9">
        <v>32950</v>
      </c>
      <c r="BJ68" s="9">
        <v>32730</v>
      </c>
      <c r="BK68" s="9">
        <v>33400</v>
      </c>
      <c r="BL68" s="9">
        <v>34590</v>
      </c>
      <c r="BM68" s="9">
        <v>35710</v>
      </c>
      <c r="BN68" s="9">
        <v>35250</v>
      </c>
      <c r="BO68" s="9">
        <v>35980</v>
      </c>
    </row>
    <row r="69" spans="3:67" x14ac:dyDescent="0.2">
      <c r="C69" s="3">
        <v>59</v>
      </c>
      <c r="E69" s="9">
        <v>24660</v>
      </c>
      <c r="F69" s="9">
        <v>24450</v>
      </c>
      <c r="G69" s="9">
        <v>23980</v>
      </c>
      <c r="H69" s="9">
        <v>24630</v>
      </c>
      <c r="I69" s="9">
        <v>24500</v>
      </c>
      <c r="J69" s="9">
        <v>24970</v>
      </c>
      <c r="K69" s="9">
        <v>25480</v>
      </c>
      <c r="L69" s="9">
        <v>26490</v>
      </c>
      <c r="M69" s="9">
        <v>27120</v>
      </c>
      <c r="N69" s="9">
        <v>28000</v>
      </c>
      <c r="O69" s="9">
        <v>28800</v>
      </c>
      <c r="P69" s="9">
        <v>29180</v>
      </c>
      <c r="Q69" s="9">
        <v>30530</v>
      </c>
      <c r="R69" s="9">
        <v>30950</v>
      </c>
      <c r="S69" s="9">
        <v>32390</v>
      </c>
      <c r="T69" s="9">
        <v>32970</v>
      </c>
      <c r="U69" s="9">
        <v>33130</v>
      </c>
      <c r="V69" s="9">
        <v>32380</v>
      </c>
      <c r="W69" s="9">
        <v>31160</v>
      </c>
      <c r="X69" s="9">
        <v>30910</v>
      </c>
      <c r="Y69" s="9">
        <v>31400</v>
      </c>
      <c r="Z69" s="9">
        <v>31630</v>
      </c>
      <c r="AA69" s="9">
        <v>32130</v>
      </c>
      <c r="AB69" s="9">
        <v>32080</v>
      </c>
      <c r="AC69" s="9">
        <v>33190</v>
      </c>
      <c r="AD69" s="9">
        <v>32550</v>
      </c>
      <c r="AE69" s="9">
        <v>31430</v>
      </c>
      <c r="AF69" s="9">
        <v>30300</v>
      </c>
      <c r="AG69" s="9">
        <v>29070</v>
      </c>
      <c r="AH69" s="9">
        <v>27710</v>
      </c>
      <c r="AI69" s="9">
        <v>27670</v>
      </c>
      <c r="AJ69" s="9">
        <v>27380</v>
      </c>
      <c r="AK69" s="9">
        <v>28240</v>
      </c>
      <c r="AL69" s="9">
        <v>28220</v>
      </c>
      <c r="AM69" s="9">
        <v>28330</v>
      </c>
      <c r="AN69" s="9">
        <v>29020</v>
      </c>
      <c r="AO69" s="9">
        <v>29650</v>
      </c>
      <c r="AP69" s="9">
        <v>29920</v>
      </c>
      <c r="AQ69" s="9">
        <v>30510</v>
      </c>
      <c r="AR69" s="9">
        <v>30820</v>
      </c>
      <c r="AS69" s="9">
        <v>31710</v>
      </c>
      <c r="AT69" s="9">
        <v>33250</v>
      </c>
      <c r="AU69" s="9">
        <v>33940</v>
      </c>
      <c r="AV69" s="9">
        <v>35550</v>
      </c>
      <c r="AW69" s="9">
        <v>36600</v>
      </c>
      <c r="AX69" s="9">
        <v>35710</v>
      </c>
      <c r="AY69" s="9">
        <v>35700</v>
      </c>
      <c r="AZ69" s="9">
        <v>35110</v>
      </c>
      <c r="BA69" s="9">
        <v>35160</v>
      </c>
      <c r="BB69" s="9">
        <v>34610</v>
      </c>
      <c r="BC69" s="9">
        <v>34710</v>
      </c>
      <c r="BD69" s="9">
        <v>34280</v>
      </c>
      <c r="BE69" s="9">
        <v>33370</v>
      </c>
      <c r="BF69" s="9">
        <v>34270</v>
      </c>
      <c r="BG69" s="9">
        <v>33860</v>
      </c>
      <c r="BH69" s="9">
        <v>32730</v>
      </c>
      <c r="BI69" s="9">
        <v>32430</v>
      </c>
      <c r="BJ69" s="9">
        <v>32960</v>
      </c>
      <c r="BK69" s="9">
        <v>32750</v>
      </c>
      <c r="BL69" s="9">
        <v>33420</v>
      </c>
      <c r="BM69" s="9">
        <v>34610</v>
      </c>
      <c r="BN69" s="9">
        <v>35720</v>
      </c>
      <c r="BO69" s="9">
        <v>35270</v>
      </c>
    </row>
    <row r="70" spans="3:67" x14ac:dyDescent="0.2">
      <c r="C70" s="3">
        <v>60</v>
      </c>
      <c r="E70" s="9">
        <v>20800</v>
      </c>
      <c r="F70" s="9">
        <v>24570</v>
      </c>
      <c r="G70" s="9">
        <v>24410</v>
      </c>
      <c r="H70" s="9">
        <v>23930</v>
      </c>
      <c r="I70" s="9">
        <v>24560</v>
      </c>
      <c r="J70" s="9">
        <v>24490</v>
      </c>
      <c r="K70" s="9">
        <v>24980</v>
      </c>
      <c r="L70" s="9">
        <v>25490</v>
      </c>
      <c r="M70" s="9">
        <v>26520</v>
      </c>
      <c r="N70" s="9">
        <v>27180</v>
      </c>
      <c r="O70" s="9">
        <v>28000</v>
      </c>
      <c r="P70" s="9">
        <v>28740</v>
      </c>
      <c r="Q70" s="9">
        <v>29120</v>
      </c>
      <c r="R70" s="9">
        <v>30470</v>
      </c>
      <c r="S70" s="9">
        <v>30890</v>
      </c>
      <c r="T70" s="9">
        <v>32330</v>
      </c>
      <c r="U70" s="9">
        <v>32920</v>
      </c>
      <c r="V70" s="9">
        <v>33080</v>
      </c>
      <c r="W70" s="9">
        <v>32330</v>
      </c>
      <c r="X70" s="9">
        <v>31120</v>
      </c>
      <c r="Y70" s="9">
        <v>30870</v>
      </c>
      <c r="Z70" s="9">
        <v>31360</v>
      </c>
      <c r="AA70" s="9">
        <v>31600</v>
      </c>
      <c r="AB70" s="9">
        <v>32100</v>
      </c>
      <c r="AC70" s="9">
        <v>32050</v>
      </c>
      <c r="AD70" s="9">
        <v>33160</v>
      </c>
      <c r="AE70" s="9">
        <v>32520</v>
      </c>
      <c r="AF70" s="9">
        <v>31410</v>
      </c>
      <c r="AG70" s="9">
        <v>30280</v>
      </c>
      <c r="AH70" s="9">
        <v>29060</v>
      </c>
      <c r="AI70" s="9">
        <v>27700</v>
      </c>
      <c r="AJ70" s="9">
        <v>27670</v>
      </c>
      <c r="AK70" s="9">
        <v>27380</v>
      </c>
      <c r="AL70" s="9">
        <v>28230</v>
      </c>
      <c r="AM70" s="9">
        <v>28220</v>
      </c>
      <c r="AN70" s="9">
        <v>28330</v>
      </c>
      <c r="AO70" s="9">
        <v>29020</v>
      </c>
      <c r="AP70" s="9">
        <v>29650</v>
      </c>
      <c r="AQ70" s="9">
        <v>29920</v>
      </c>
      <c r="AR70" s="9">
        <v>30510</v>
      </c>
      <c r="AS70" s="9">
        <v>30820</v>
      </c>
      <c r="AT70" s="9">
        <v>31710</v>
      </c>
      <c r="AU70" s="9">
        <v>33250</v>
      </c>
      <c r="AV70" s="9">
        <v>33950</v>
      </c>
      <c r="AW70" s="9">
        <v>35550</v>
      </c>
      <c r="AX70" s="9">
        <v>36600</v>
      </c>
      <c r="AY70" s="9">
        <v>35710</v>
      </c>
      <c r="AZ70" s="9">
        <v>35710</v>
      </c>
      <c r="BA70" s="9">
        <v>35120</v>
      </c>
      <c r="BB70" s="9">
        <v>35160</v>
      </c>
      <c r="BC70" s="9">
        <v>34630</v>
      </c>
      <c r="BD70" s="9">
        <v>34720</v>
      </c>
      <c r="BE70" s="9">
        <v>34290</v>
      </c>
      <c r="BF70" s="9">
        <v>33380</v>
      </c>
      <c r="BG70" s="9">
        <v>34280</v>
      </c>
      <c r="BH70" s="9">
        <v>33870</v>
      </c>
      <c r="BI70" s="9">
        <v>32750</v>
      </c>
      <c r="BJ70" s="9">
        <v>32450</v>
      </c>
      <c r="BK70" s="9">
        <v>32980</v>
      </c>
      <c r="BL70" s="9">
        <v>32770</v>
      </c>
      <c r="BM70" s="9">
        <v>33440</v>
      </c>
      <c r="BN70" s="9">
        <v>34630</v>
      </c>
      <c r="BO70" s="9">
        <v>35750</v>
      </c>
    </row>
    <row r="71" spans="3:67" x14ac:dyDescent="0.2">
      <c r="C71" s="3">
        <v>61</v>
      </c>
      <c r="E71" s="9">
        <v>19700</v>
      </c>
      <c r="F71" s="9">
        <v>20750</v>
      </c>
      <c r="G71" s="9">
        <v>24470</v>
      </c>
      <c r="H71" s="9">
        <v>24340</v>
      </c>
      <c r="I71" s="9">
        <v>23890</v>
      </c>
      <c r="J71" s="9">
        <v>24540</v>
      </c>
      <c r="K71" s="9">
        <v>24440</v>
      </c>
      <c r="L71" s="9">
        <v>24970</v>
      </c>
      <c r="M71" s="9">
        <v>25480</v>
      </c>
      <c r="N71" s="9">
        <v>26580</v>
      </c>
      <c r="O71" s="9">
        <v>27180</v>
      </c>
      <c r="P71" s="9">
        <v>27950</v>
      </c>
      <c r="Q71" s="9">
        <v>28690</v>
      </c>
      <c r="R71" s="9">
        <v>29060</v>
      </c>
      <c r="S71" s="9">
        <v>30410</v>
      </c>
      <c r="T71" s="9">
        <v>30840</v>
      </c>
      <c r="U71" s="9">
        <v>32270</v>
      </c>
      <c r="V71" s="9">
        <v>32860</v>
      </c>
      <c r="W71" s="9">
        <v>33030</v>
      </c>
      <c r="X71" s="9">
        <v>32280</v>
      </c>
      <c r="Y71" s="9">
        <v>31080</v>
      </c>
      <c r="Z71" s="9">
        <v>30830</v>
      </c>
      <c r="AA71" s="9">
        <v>31330</v>
      </c>
      <c r="AB71" s="9">
        <v>31570</v>
      </c>
      <c r="AC71" s="9">
        <v>32070</v>
      </c>
      <c r="AD71" s="9">
        <v>32030</v>
      </c>
      <c r="AE71" s="9">
        <v>33130</v>
      </c>
      <c r="AF71" s="9">
        <v>32490</v>
      </c>
      <c r="AG71" s="9">
        <v>31390</v>
      </c>
      <c r="AH71" s="9">
        <v>30270</v>
      </c>
      <c r="AI71" s="9">
        <v>29050</v>
      </c>
      <c r="AJ71" s="9">
        <v>27700</v>
      </c>
      <c r="AK71" s="9">
        <v>27670</v>
      </c>
      <c r="AL71" s="9">
        <v>27380</v>
      </c>
      <c r="AM71" s="9">
        <v>28240</v>
      </c>
      <c r="AN71" s="9">
        <v>28220</v>
      </c>
      <c r="AO71" s="9">
        <v>28330</v>
      </c>
      <c r="AP71" s="9">
        <v>29020</v>
      </c>
      <c r="AQ71" s="9">
        <v>29650</v>
      </c>
      <c r="AR71" s="9">
        <v>29930</v>
      </c>
      <c r="AS71" s="9">
        <v>30520</v>
      </c>
      <c r="AT71" s="9">
        <v>30830</v>
      </c>
      <c r="AU71" s="9">
        <v>31720</v>
      </c>
      <c r="AV71" s="9">
        <v>33260</v>
      </c>
      <c r="AW71" s="9">
        <v>33950</v>
      </c>
      <c r="AX71" s="9">
        <v>35560</v>
      </c>
      <c r="AY71" s="9">
        <v>36600</v>
      </c>
      <c r="AZ71" s="9">
        <v>35720</v>
      </c>
      <c r="BA71" s="9">
        <v>35720</v>
      </c>
      <c r="BB71" s="9">
        <v>35130</v>
      </c>
      <c r="BC71" s="9">
        <v>35180</v>
      </c>
      <c r="BD71" s="9">
        <v>34640</v>
      </c>
      <c r="BE71" s="9">
        <v>34740</v>
      </c>
      <c r="BF71" s="9">
        <v>34310</v>
      </c>
      <c r="BG71" s="9">
        <v>33410</v>
      </c>
      <c r="BH71" s="9">
        <v>34300</v>
      </c>
      <c r="BI71" s="9">
        <v>33900</v>
      </c>
      <c r="BJ71" s="9">
        <v>32770</v>
      </c>
      <c r="BK71" s="9">
        <v>32470</v>
      </c>
      <c r="BL71" s="9">
        <v>33010</v>
      </c>
      <c r="BM71" s="9">
        <v>32800</v>
      </c>
      <c r="BN71" s="9">
        <v>33470</v>
      </c>
      <c r="BO71" s="9">
        <v>34660</v>
      </c>
    </row>
    <row r="72" spans="3:67" x14ac:dyDescent="0.2">
      <c r="C72" s="3">
        <v>62</v>
      </c>
      <c r="E72" s="9">
        <v>18680</v>
      </c>
      <c r="F72" s="9">
        <v>19610</v>
      </c>
      <c r="G72" s="9">
        <v>20680</v>
      </c>
      <c r="H72" s="9">
        <v>24370</v>
      </c>
      <c r="I72" s="9">
        <v>24280</v>
      </c>
      <c r="J72" s="9">
        <v>23840</v>
      </c>
      <c r="K72" s="9">
        <v>24510</v>
      </c>
      <c r="L72" s="9">
        <v>24380</v>
      </c>
      <c r="M72" s="9">
        <v>24990</v>
      </c>
      <c r="N72" s="9">
        <v>25530</v>
      </c>
      <c r="O72" s="9">
        <v>26580</v>
      </c>
      <c r="P72" s="9">
        <v>27120</v>
      </c>
      <c r="Q72" s="9">
        <v>27890</v>
      </c>
      <c r="R72" s="9">
        <v>28630</v>
      </c>
      <c r="S72" s="9">
        <v>29010</v>
      </c>
      <c r="T72" s="9">
        <v>30350</v>
      </c>
      <c r="U72" s="9">
        <v>30780</v>
      </c>
      <c r="V72" s="9">
        <v>32210</v>
      </c>
      <c r="W72" s="9">
        <v>32800</v>
      </c>
      <c r="X72" s="9">
        <v>32970</v>
      </c>
      <c r="Y72" s="9">
        <v>32230</v>
      </c>
      <c r="Z72" s="9">
        <v>31040</v>
      </c>
      <c r="AA72" s="9">
        <v>30790</v>
      </c>
      <c r="AB72" s="9">
        <v>31290</v>
      </c>
      <c r="AC72" s="9">
        <v>31530</v>
      </c>
      <c r="AD72" s="9">
        <v>32040</v>
      </c>
      <c r="AE72" s="9">
        <v>32000</v>
      </c>
      <c r="AF72" s="9">
        <v>33100</v>
      </c>
      <c r="AG72" s="9">
        <v>32470</v>
      </c>
      <c r="AH72" s="9">
        <v>31370</v>
      </c>
      <c r="AI72" s="9">
        <v>30250</v>
      </c>
      <c r="AJ72" s="9">
        <v>29040</v>
      </c>
      <c r="AK72" s="9">
        <v>27690</v>
      </c>
      <c r="AL72" s="9">
        <v>27660</v>
      </c>
      <c r="AM72" s="9">
        <v>27380</v>
      </c>
      <c r="AN72" s="9">
        <v>28240</v>
      </c>
      <c r="AO72" s="9">
        <v>28220</v>
      </c>
      <c r="AP72" s="9">
        <v>28340</v>
      </c>
      <c r="AQ72" s="9">
        <v>29030</v>
      </c>
      <c r="AR72" s="9">
        <v>29660</v>
      </c>
      <c r="AS72" s="9">
        <v>29940</v>
      </c>
      <c r="AT72" s="9">
        <v>30520</v>
      </c>
      <c r="AU72" s="9">
        <v>30840</v>
      </c>
      <c r="AV72" s="9">
        <v>31730</v>
      </c>
      <c r="AW72" s="9">
        <v>33270</v>
      </c>
      <c r="AX72" s="9">
        <v>33960</v>
      </c>
      <c r="AY72" s="9">
        <v>35570</v>
      </c>
      <c r="AZ72" s="9">
        <v>36610</v>
      </c>
      <c r="BA72" s="9">
        <v>35730</v>
      </c>
      <c r="BB72" s="9">
        <v>35730</v>
      </c>
      <c r="BC72" s="9">
        <v>35150</v>
      </c>
      <c r="BD72" s="9">
        <v>35190</v>
      </c>
      <c r="BE72" s="9">
        <v>34660</v>
      </c>
      <c r="BF72" s="9">
        <v>34760</v>
      </c>
      <c r="BG72" s="9">
        <v>34330</v>
      </c>
      <c r="BH72" s="9">
        <v>33430</v>
      </c>
      <c r="BI72" s="9">
        <v>34320</v>
      </c>
      <c r="BJ72" s="9">
        <v>33920</v>
      </c>
      <c r="BK72" s="9">
        <v>32800</v>
      </c>
      <c r="BL72" s="9">
        <v>32500</v>
      </c>
      <c r="BM72" s="9">
        <v>33040</v>
      </c>
      <c r="BN72" s="9">
        <v>32830</v>
      </c>
      <c r="BO72" s="9">
        <v>33500</v>
      </c>
    </row>
    <row r="73" spans="3:67" x14ac:dyDescent="0.2">
      <c r="C73" s="3">
        <v>63</v>
      </c>
      <c r="E73" s="9">
        <v>16840</v>
      </c>
      <c r="F73" s="9">
        <v>18600</v>
      </c>
      <c r="G73" s="9">
        <v>19540</v>
      </c>
      <c r="H73" s="9">
        <v>20580</v>
      </c>
      <c r="I73" s="9">
        <v>24270</v>
      </c>
      <c r="J73" s="9">
        <v>24200</v>
      </c>
      <c r="K73" s="9">
        <v>23820</v>
      </c>
      <c r="L73" s="9">
        <v>24470</v>
      </c>
      <c r="M73" s="9">
        <v>24330</v>
      </c>
      <c r="N73" s="9">
        <v>25020</v>
      </c>
      <c r="O73" s="9">
        <v>25510</v>
      </c>
      <c r="P73" s="9">
        <v>26510</v>
      </c>
      <c r="Q73" s="9">
        <v>27050</v>
      </c>
      <c r="R73" s="9">
        <v>27820</v>
      </c>
      <c r="S73" s="9">
        <v>28560</v>
      </c>
      <c r="T73" s="9">
        <v>28940</v>
      </c>
      <c r="U73" s="9">
        <v>30290</v>
      </c>
      <c r="V73" s="9">
        <v>30720</v>
      </c>
      <c r="W73" s="9">
        <v>32150</v>
      </c>
      <c r="X73" s="9">
        <v>32740</v>
      </c>
      <c r="Y73" s="9">
        <v>32910</v>
      </c>
      <c r="Z73" s="9">
        <v>32180</v>
      </c>
      <c r="AA73" s="9">
        <v>30990</v>
      </c>
      <c r="AB73" s="9">
        <v>30750</v>
      </c>
      <c r="AC73" s="9">
        <v>31250</v>
      </c>
      <c r="AD73" s="9">
        <v>31490</v>
      </c>
      <c r="AE73" s="9">
        <v>32000</v>
      </c>
      <c r="AF73" s="9">
        <v>31960</v>
      </c>
      <c r="AG73" s="9">
        <v>33070</v>
      </c>
      <c r="AH73" s="9">
        <v>32440</v>
      </c>
      <c r="AI73" s="9">
        <v>31350</v>
      </c>
      <c r="AJ73" s="9">
        <v>30240</v>
      </c>
      <c r="AK73" s="9">
        <v>29030</v>
      </c>
      <c r="AL73" s="9">
        <v>27690</v>
      </c>
      <c r="AM73" s="9">
        <v>27660</v>
      </c>
      <c r="AN73" s="9">
        <v>27380</v>
      </c>
      <c r="AO73" s="9">
        <v>28230</v>
      </c>
      <c r="AP73" s="9">
        <v>28220</v>
      </c>
      <c r="AQ73" s="9">
        <v>28340</v>
      </c>
      <c r="AR73" s="9">
        <v>29030</v>
      </c>
      <c r="AS73" s="9">
        <v>29660</v>
      </c>
      <c r="AT73" s="9">
        <v>29940</v>
      </c>
      <c r="AU73" s="9">
        <v>30530</v>
      </c>
      <c r="AV73" s="9">
        <v>30840</v>
      </c>
      <c r="AW73" s="9">
        <v>31740</v>
      </c>
      <c r="AX73" s="9">
        <v>33270</v>
      </c>
      <c r="AY73" s="9">
        <v>33970</v>
      </c>
      <c r="AZ73" s="9">
        <v>35570</v>
      </c>
      <c r="BA73" s="9">
        <v>36610</v>
      </c>
      <c r="BB73" s="9">
        <v>35740</v>
      </c>
      <c r="BC73" s="9">
        <v>35740</v>
      </c>
      <c r="BD73" s="9">
        <v>35160</v>
      </c>
      <c r="BE73" s="9">
        <v>35210</v>
      </c>
      <c r="BF73" s="9">
        <v>34670</v>
      </c>
      <c r="BG73" s="9">
        <v>34770</v>
      </c>
      <c r="BH73" s="9">
        <v>34350</v>
      </c>
      <c r="BI73" s="9">
        <v>33450</v>
      </c>
      <c r="BJ73" s="9">
        <v>34350</v>
      </c>
      <c r="BK73" s="9">
        <v>33940</v>
      </c>
      <c r="BL73" s="9">
        <v>32830</v>
      </c>
      <c r="BM73" s="9">
        <v>32530</v>
      </c>
      <c r="BN73" s="9">
        <v>33070</v>
      </c>
      <c r="BO73" s="9">
        <v>32860</v>
      </c>
    </row>
    <row r="74" spans="3:67" x14ac:dyDescent="0.2">
      <c r="C74" s="3">
        <v>64</v>
      </c>
      <c r="E74" s="9">
        <v>18730</v>
      </c>
      <c r="F74" s="9">
        <v>16750</v>
      </c>
      <c r="G74" s="9">
        <v>18530</v>
      </c>
      <c r="H74" s="9">
        <v>19490</v>
      </c>
      <c r="I74" s="9">
        <v>20520</v>
      </c>
      <c r="J74" s="9">
        <v>24170</v>
      </c>
      <c r="K74" s="9">
        <v>24150</v>
      </c>
      <c r="L74" s="9">
        <v>23800</v>
      </c>
      <c r="M74" s="9">
        <v>24420</v>
      </c>
      <c r="N74" s="9">
        <v>24340</v>
      </c>
      <c r="O74" s="9">
        <v>24990</v>
      </c>
      <c r="P74" s="9">
        <v>25440</v>
      </c>
      <c r="Q74" s="9">
        <v>26430</v>
      </c>
      <c r="R74" s="9">
        <v>26970</v>
      </c>
      <c r="S74" s="9">
        <v>27740</v>
      </c>
      <c r="T74" s="9">
        <v>28480</v>
      </c>
      <c r="U74" s="9">
        <v>28870</v>
      </c>
      <c r="V74" s="9">
        <v>30210</v>
      </c>
      <c r="W74" s="9">
        <v>30640</v>
      </c>
      <c r="X74" s="9">
        <v>32070</v>
      </c>
      <c r="Y74" s="9">
        <v>32670</v>
      </c>
      <c r="Z74" s="9">
        <v>32840</v>
      </c>
      <c r="AA74" s="9">
        <v>32120</v>
      </c>
      <c r="AB74" s="9">
        <v>30940</v>
      </c>
      <c r="AC74" s="9">
        <v>30700</v>
      </c>
      <c r="AD74" s="9">
        <v>31200</v>
      </c>
      <c r="AE74" s="9">
        <v>31450</v>
      </c>
      <c r="AF74" s="9">
        <v>31950</v>
      </c>
      <c r="AG74" s="9">
        <v>31920</v>
      </c>
      <c r="AH74" s="9">
        <v>33030</v>
      </c>
      <c r="AI74" s="9">
        <v>32400</v>
      </c>
      <c r="AJ74" s="9">
        <v>31320</v>
      </c>
      <c r="AK74" s="9">
        <v>30210</v>
      </c>
      <c r="AL74" s="9">
        <v>29010</v>
      </c>
      <c r="AM74" s="9">
        <v>27670</v>
      </c>
      <c r="AN74" s="9">
        <v>27650</v>
      </c>
      <c r="AO74" s="9">
        <v>27370</v>
      </c>
      <c r="AP74" s="9">
        <v>28230</v>
      </c>
      <c r="AQ74" s="9">
        <v>28210</v>
      </c>
      <c r="AR74" s="9">
        <v>28340</v>
      </c>
      <c r="AS74" s="9">
        <v>29030</v>
      </c>
      <c r="AT74" s="9">
        <v>29660</v>
      </c>
      <c r="AU74" s="9">
        <v>29940</v>
      </c>
      <c r="AV74" s="9">
        <v>30530</v>
      </c>
      <c r="AW74" s="9">
        <v>30840</v>
      </c>
      <c r="AX74" s="9">
        <v>31740</v>
      </c>
      <c r="AY74" s="9">
        <v>33270</v>
      </c>
      <c r="AZ74" s="9">
        <v>33970</v>
      </c>
      <c r="BA74" s="9">
        <v>35570</v>
      </c>
      <c r="BB74" s="9">
        <v>36610</v>
      </c>
      <c r="BC74" s="9">
        <v>35740</v>
      </c>
      <c r="BD74" s="9">
        <v>35740</v>
      </c>
      <c r="BE74" s="9">
        <v>35170</v>
      </c>
      <c r="BF74" s="9">
        <v>35210</v>
      </c>
      <c r="BG74" s="9">
        <v>34680</v>
      </c>
      <c r="BH74" s="9">
        <v>34780</v>
      </c>
      <c r="BI74" s="9">
        <v>34360</v>
      </c>
      <c r="BJ74" s="9">
        <v>33470</v>
      </c>
      <c r="BK74" s="9">
        <v>34360</v>
      </c>
      <c r="BL74" s="9">
        <v>33960</v>
      </c>
      <c r="BM74" s="9">
        <v>32850</v>
      </c>
      <c r="BN74" s="9">
        <v>32550</v>
      </c>
      <c r="BO74" s="9">
        <v>33090</v>
      </c>
    </row>
    <row r="75" spans="3:67" x14ac:dyDescent="0.2">
      <c r="C75" s="3">
        <v>65</v>
      </c>
      <c r="E75" s="9">
        <v>18400</v>
      </c>
      <c r="F75" s="9">
        <v>18630</v>
      </c>
      <c r="G75" s="9">
        <v>16670</v>
      </c>
      <c r="H75" s="9">
        <v>18440</v>
      </c>
      <c r="I75" s="9">
        <v>19440</v>
      </c>
      <c r="J75" s="9">
        <v>20450</v>
      </c>
      <c r="K75" s="9">
        <v>24040</v>
      </c>
      <c r="L75" s="9">
        <v>24050</v>
      </c>
      <c r="M75" s="9">
        <v>23740</v>
      </c>
      <c r="N75" s="9">
        <v>24400</v>
      </c>
      <c r="O75" s="9">
        <v>24290</v>
      </c>
      <c r="P75" s="9">
        <v>24900</v>
      </c>
      <c r="Q75" s="9">
        <v>25350</v>
      </c>
      <c r="R75" s="9">
        <v>26340</v>
      </c>
      <c r="S75" s="9">
        <v>26880</v>
      </c>
      <c r="T75" s="9">
        <v>27650</v>
      </c>
      <c r="U75" s="9">
        <v>28390</v>
      </c>
      <c r="V75" s="9">
        <v>28780</v>
      </c>
      <c r="W75" s="9">
        <v>30120</v>
      </c>
      <c r="X75" s="9">
        <v>30560</v>
      </c>
      <c r="Y75" s="9">
        <v>31980</v>
      </c>
      <c r="Z75" s="9">
        <v>32580</v>
      </c>
      <c r="AA75" s="9">
        <v>32760</v>
      </c>
      <c r="AB75" s="9">
        <v>32040</v>
      </c>
      <c r="AC75" s="9">
        <v>30870</v>
      </c>
      <c r="AD75" s="9">
        <v>30640</v>
      </c>
      <c r="AE75" s="9">
        <v>31140</v>
      </c>
      <c r="AF75" s="9">
        <v>31390</v>
      </c>
      <c r="AG75" s="9">
        <v>31900</v>
      </c>
      <c r="AH75" s="9">
        <v>31870</v>
      </c>
      <c r="AI75" s="9">
        <v>32970</v>
      </c>
      <c r="AJ75" s="9">
        <v>32360</v>
      </c>
      <c r="AK75" s="9">
        <v>31280</v>
      </c>
      <c r="AL75" s="9">
        <v>30180</v>
      </c>
      <c r="AM75" s="9">
        <v>28980</v>
      </c>
      <c r="AN75" s="9">
        <v>27650</v>
      </c>
      <c r="AO75" s="9">
        <v>27630</v>
      </c>
      <c r="AP75" s="9">
        <v>27350</v>
      </c>
      <c r="AQ75" s="9">
        <v>28210</v>
      </c>
      <c r="AR75" s="9">
        <v>28200</v>
      </c>
      <c r="AS75" s="9">
        <v>28330</v>
      </c>
      <c r="AT75" s="9">
        <v>29020</v>
      </c>
      <c r="AU75" s="9">
        <v>29640</v>
      </c>
      <c r="AV75" s="9">
        <v>29930</v>
      </c>
      <c r="AW75" s="9">
        <v>30520</v>
      </c>
      <c r="AX75" s="9">
        <v>30840</v>
      </c>
      <c r="AY75" s="9">
        <v>31730</v>
      </c>
      <c r="AZ75" s="9">
        <v>33260</v>
      </c>
      <c r="BA75" s="9">
        <v>33960</v>
      </c>
      <c r="BB75" s="9">
        <v>35560</v>
      </c>
      <c r="BC75" s="9">
        <v>36600</v>
      </c>
      <c r="BD75" s="9">
        <v>35730</v>
      </c>
      <c r="BE75" s="9">
        <v>35740</v>
      </c>
      <c r="BF75" s="9">
        <v>35160</v>
      </c>
      <c r="BG75" s="9">
        <v>35220</v>
      </c>
      <c r="BH75" s="9">
        <v>34690</v>
      </c>
      <c r="BI75" s="9">
        <v>34790</v>
      </c>
      <c r="BJ75" s="9">
        <v>34370</v>
      </c>
      <c r="BK75" s="9">
        <v>33480</v>
      </c>
      <c r="BL75" s="9">
        <v>34370</v>
      </c>
      <c r="BM75" s="9">
        <v>33970</v>
      </c>
      <c r="BN75" s="9">
        <v>32860</v>
      </c>
      <c r="BO75" s="9">
        <v>32570</v>
      </c>
    </row>
    <row r="76" spans="3:67" x14ac:dyDescent="0.2">
      <c r="C76" s="3">
        <v>66</v>
      </c>
      <c r="E76" s="9">
        <v>16900</v>
      </c>
      <c r="F76" s="9">
        <v>18240</v>
      </c>
      <c r="G76" s="9">
        <v>18470</v>
      </c>
      <c r="H76" s="9">
        <v>16570</v>
      </c>
      <c r="I76" s="9">
        <v>18340</v>
      </c>
      <c r="J76" s="9">
        <v>19330</v>
      </c>
      <c r="K76" s="9">
        <v>20350</v>
      </c>
      <c r="L76" s="9">
        <v>23940</v>
      </c>
      <c r="M76" s="9">
        <v>23970</v>
      </c>
      <c r="N76" s="9">
        <v>23700</v>
      </c>
      <c r="O76" s="9">
        <v>24330</v>
      </c>
      <c r="P76" s="9">
        <v>24180</v>
      </c>
      <c r="Q76" s="9">
        <v>24790</v>
      </c>
      <c r="R76" s="9">
        <v>25240</v>
      </c>
      <c r="S76" s="9">
        <v>26230</v>
      </c>
      <c r="T76" s="9">
        <v>26780</v>
      </c>
      <c r="U76" s="9">
        <v>27550</v>
      </c>
      <c r="V76" s="9">
        <v>28290</v>
      </c>
      <c r="W76" s="9">
        <v>28680</v>
      </c>
      <c r="X76" s="9">
        <v>30020</v>
      </c>
      <c r="Y76" s="9">
        <v>30460</v>
      </c>
      <c r="Z76" s="9">
        <v>31880</v>
      </c>
      <c r="AA76" s="9">
        <v>32480</v>
      </c>
      <c r="AB76" s="9">
        <v>32660</v>
      </c>
      <c r="AC76" s="9">
        <v>31950</v>
      </c>
      <c r="AD76" s="9">
        <v>30790</v>
      </c>
      <c r="AE76" s="9">
        <v>30560</v>
      </c>
      <c r="AF76" s="9">
        <v>31070</v>
      </c>
      <c r="AG76" s="9">
        <v>31320</v>
      </c>
      <c r="AH76" s="9">
        <v>31830</v>
      </c>
      <c r="AI76" s="9">
        <v>31800</v>
      </c>
      <c r="AJ76" s="9">
        <v>32910</v>
      </c>
      <c r="AK76" s="9">
        <v>32300</v>
      </c>
      <c r="AL76" s="9">
        <v>31220</v>
      </c>
      <c r="AM76" s="9">
        <v>30130</v>
      </c>
      <c r="AN76" s="9">
        <v>28940</v>
      </c>
      <c r="AO76" s="9">
        <v>27620</v>
      </c>
      <c r="AP76" s="9">
        <v>27600</v>
      </c>
      <c r="AQ76" s="9">
        <v>27330</v>
      </c>
      <c r="AR76" s="9">
        <v>28180</v>
      </c>
      <c r="AS76" s="9">
        <v>28180</v>
      </c>
      <c r="AT76" s="9">
        <v>28300</v>
      </c>
      <c r="AU76" s="9">
        <v>28990</v>
      </c>
      <c r="AV76" s="9">
        <v>29620</v>
      </c>
      <c r="AW76" s="9">
        <v>29910</v>
      </c>
      <c r="AX76" s="9">
        <v>30500</v>
      </c>
      <c r="AY76" s="9">
        <v>30820</v>
      </c>
      <c r="AZ76" s="9">
        <v>31710</v>
      </c>
      <c r="BA76" s="9">
        <v>33240</v>
      </c>
      <c r="BB76" s="9">
        <v>33940</v>
      </c>
      <c r="BC76" s="9">
        <v>35540</v>
      </c>
      <c r="BD76" s="9">
        <v>36580</v>
      </c>
      <c r="BE76" s="9">
        <v>35720</v>
      </c>
      <c r="BF76" s="9">
        <v>35720</v>
      </c>
      <c r="BG76" s="9">
        <v>35150</v>
      </c>
      <c r="BH76" s="9">
        <v>35210</v>
      </c>
      <c r="BI76" s="9">
        <v>34680</v>
      </c>
      <c r="BJ76" s="9">
        <v>34780</v>
      </c>
      <c r="BK76" s="9">
        <v>34360</v>
      </c>
      <c r="BL76" s="9">
        <v>33480</v>
      </c>
      <c r="BM76" s="9">
        <v>34370</v>
      </c>
      <c r="BN76" s="9">
        <v>33980</v>
      </c>
      <c r="BO76" s="9">
        <v>32870</v>
      </c>
    </row>
    <row r="77" spans="3:67" x14ac:dyDescent="0.2">
      <c r="C77" s="3">
        <v>67</v>
      </c>
      <c r="E77" s="9">
        <v>15620</v>
      </c>
      <c r="F77" s="9">
        <v>16740</v>
      </c>
      <c r="G77" s="9">
        <v>18050</v>
      </c>
      <c r="H77" s="9">
        <v>18370</v>
      </c>
      <c r="I77" s="9">
        <v>16430</v>
      </c>
      <c r="J77" s="9">
        <v>18210</v>
      </c>
      <c r="K77" s="9">
        <v>19190</v>
      </c>
      <c r="L77" s="9">
        <v>20190</v>
      </c>
      <c r="M77" s="9">
        <v>23830</v>
      </c>
      <c r="N77" s="9">
        <v>23890</v>
      </c>
      <c r="O77" s="9">
        <v>23600</v>
      </c>
      <c r="P77" s="9">
        <v>24190</v>
      </c>
      <c r="Q77" s="9">
        <v>24060</v>
      </c>
      <c r="R77" s="9">
        <v>24670</v>
      </c>
      <c r="S77" s="9">
        <v>25120</v>
      </c>
      <c r="T77" s="9">
        <v>26110</v>
      </c>
      <c r="U77" s="9">
        <v>26660</v>
      </c>
      <c r="V77" s="9">
        <v>27420</v>
      </c>
      <c r="W77" s="9">
        <v>28170</v>
      </c>
      <c r="X77" s="9">
        <v>28560</v>
      </c>
      <c r="Y77" s="9">
        <v>29900</v>
      </c>
      <c r="Z77" s="9">
        <v>30340</v>
      </c>
      <c r="AA77" s="9">
        <v>31760</v>
      </c>
      <c r="AB77" s="9">
        <v>32360</v>
      </c>
      <c r="AC77" s="9">
        <v>32550</v>
      </c>
      <c r="AD77" s="9">
        <v>31840</v>
      </c>
      <c r="AE77" s="9">
        <v>30690</v>
      </c>
      <c r="AF77" s="9">
        <v>30470</v>
      </c>
      <c r="AG77" s="9">
        <v>30980</v>
      </c>
      <c r="AH77" s="9">
        <v>31230</v>
      </c>
      <c r="AI77" s="9">
        <v>31740</v>
      </c>
      <c r="AJ77" s="9">
        <v>31720</v>
      </c>
      <c r="AK77" s="9">
        <v>32820</v>
      </c>
      <c r="AL77" s="9">
        <v>32220</v>
      </c>
      <c r="AM77" s="9">
        <v>31150</v>
      </c>
      <c r="AN77" s="9">
        <v>30070</v>
      </c>
      <c r="AO77" s="9">
        <v>28880</v>
      </c>
      <c r="AP77" s="9">
        <v>27570</v>
      </c>
      <c r="AQ77" s="9">
        <v>27550</v>
      </c>
      <c r="AR77" s="9">
        <v>27290</v>
      </c>
      <c r="AS77" s="9">
        <v>28140</v>
      </c>
      <c r="AT77" s="9">
        <v>28140</v>
      </c>
      <c r="AU77" s="9">
        <v>28270</v>
      </c>
      <c r="AV77" s="9">
        <v>28960</v>
      </c>
      <c r="AW77" s="9">
        <v>29590</v>
      </c>
      <c r="AX77" s="9">
        <v>29870</v>
      </c>
      <c r="AY77" s="9">
        <v>30460</v>
      </c>
      <c r="AZ77" s="9">
        <v>30790</v>
      </c>
      <c r="BA77" s="9">
        <v>31680</v>
      </c>
      <c r="BB77" s="9">
        <v>33210</v>
      </c>
      <c r="BC77" s="9">
        <v>33910</v>
      </c>
      <c r="BD77" s="9">
        <v>35510</v>
      </c>
      <c r="BE77" s="9">
        <v>36550</v>
      </c>
      <c r="BF77" s="9">
        <v>35690</v>
      </c>
      <c r="BG77" s="9">
        <v>35690</v>
      </c>
      <c r="BH77" s="9">
        <v>35130</v>
      </c>
      <c r="BI77" s="9">
        <v>35180</v>
      </c>
      <c r="BJ77" s="9">
        <v>34660</v>
      </c>
      <c r="BK77" s="9">
        <v>34770</v>
      </c>
      <c r="BL77" s="9">
        <v>34350</v>
      </c>
      <c r="BM77" s="9">
        <v>33460</v>
      </c>
      <c r="BN77" s="9">
        <v>34360</v>
      </c>
      <c r="BO77" s="9">
        <v>33970</v>
      </c>
    </row>
    <row r="78" spans="3:67" x14ac:dyDescent="0.2">
      <c r="C78" s="3">
        <v>68</v>
      </c>
      <c r="E78" s="9">
        <v>14760</v>
      </c>
      <c r="F78" s="9">
        <v>15410</v>
      </c>
      <c r="G78" s="9">
        <v>16570</v>
      </c>
      <c r="H78" s="9">
        <v>17860</v>
      </c>
      <c r="I78" s="9">
        <v>18190</v>
      </c>
      <c r="J78" s="9">
        <v>16290</v>
      </c>
      <c r="K78" s="9">
        <v>18050</v>
      </c>
      <c r="L78" s="9">
        <v>19110</v>
      </c>
      <c r="M78" s="9">
        <v>20080</v>
      </c>
      <c r="N78" s="9">
        <v>23710</v>
      </c>
      <c r="O78" s="9">
        <v>23760</v>
      </c>
      <c r="P78" s="9">
        <v>23440</v>
      </c>
      <c r="Q78" s="9">
        <v>24040</v>
      </c>
      <c r="R78" s="9">
        <v>23910</v>
      </c>
      <c r="S78" s="9">
        <v>24520</v>
      </c>
      <c r="T78" s="9">
        <v>24980</v>
      </c>
      <c r="U78" s="9">
        <v>25960</v>
      </c>
      <c r="V78" s="9">
        <v>26510</v>
      </c>
      <c r="W78" s="9">
        <v>27280</v>
      </c>
      <c r="X78" s="9">
        <v>28030</v>
      </c>
      <c r="Y78" s="9">
        <v>28420</v>
      </c>
      <c r="Z78" s="9">
        <v>29760</v>
      </c>
      <c r="AA78" s="9">
        <v>30200</v>
      </c>
      <c r="AB78" s="9">
        <v>31620</v>
      </c>
      <c r="AC78" s="9">
        <v>32220</v>
      </c>
      <c r="AD78" s="9">
        <v>32410</v>
      </c>
      <c r="AE78" s="9">
        <v>31720</v>
      </c>
      <c r="AF78" s="9">
        <v>30580</v>
      </c>
      <c r="AG78" s="9">
        <v>30360</v>
      </c>
      <c r="AH78" s="9">
        <v>30870</v>
      </c>
      <c r="AI78" s="9">
        <v>31120</v>
      </c>
      <c r="AJ78" s="9">
        <v>31640</v>
      </c>
      <c r="AK78" s="9">
        <v>31620</v>
      </c>
      <c r="AL78" s="9">
        <v>32720</v>
      </c>
      <c r="AM78" s="9">
        <v>32120</v>
      </c>
      <c r="AN78" s="9">
        <v>31070</v>
      </c>
      <c r="AO78" s="9">
        <v>29990</v>
      </c>
      <c r="AP78" s="9">
        <v>28810</v>
      </c>
      <c r="AQ78" s="9">
        <v>27510</v>
      </c>
      <c r="AR78" s="9">
        <v>27500</v>
      </c>
      <c r="AS78" s="9">
        <v>27230</v>
      </c>
      <c r="AT78" s="9">
        <v>28090</v>
      </c>
      <c r="AU78" s="9">
        <v>28080</v>
      </c>
      <c r="AV78" s="9">
        <v>28210</v>
      </c>
      <c r="AW78" s="9">
        <v>28910</v>
      </c>
      <c r="AX78" s="9">
        <v>29540</v>
      </c>
      <c r="AY78" s="9">
        <v>29830</v>
      </c>
      <c r="AZ78" s="9">
        <v>30420</v>
      </c>
      <c r="BA78" s="9">
        <v>30740</v>
      </c>
      <c r="BB78" s="9">
        <v>31630</v>
      </c>
      <c r="BC78" s="9">
        <v>33160</v>
      </c>
      <c r="BD78" s="9">
        <v>33860</v>
      </c>
      <c r="BE78" s="9">
        <v>35460</v>
      </c>
      <c r="BF78" s="9">
        <v>36500</v>
      </c>
      <c r="BG78" s="9">
        <v>35640</v>
      </c>
      <c r="BH78" s="9">
        <v>35650</v>
      </c>
      <c r="BI78" s="9">
        <v>35090</v>
      </c>
      <c r="BJ78" s="9">
        <v>35150</v>
      </c>
      <c r="BK78" s="9">
        <v>34630</v>
      </c>
      <c r="BL78" s="9">
        <v>34740</v>
      </c>
      <c r="BM78" s="9">
        <v>34320</v>
      </c>
      <c r="BN78" s="9">
        <v>33440</v>
      </c>
      <c r="BO78" s="9">
        <v>34340</v>
      </c>
    </row>
    <row r="79" spans="3:67" x14ac:dyDescent="0.2">
      <c r="C79" s="3">
        <v>69</v>
      </c>
      <c r="E79" s="9">
        <v>14230</v>
      </c>
      <c r="F79" s="9">
        <v>14600</v>
      </c>
      <c r="G79" s="9">
        <v>15220</v>
      </c>
      <c r="H79" s="9">
        <v>16380</v>
      </c>
      <c r="I79" s="9">
        <v>17680</v>
      </c>
      <c r="J79" s="9">
        <v>18000</v>
      </c>
      <c r="K79" s="9">
        <v>16110</v>
      </c>
      <c r="L79" s="9">
        <v>17900</v>
      </c>
      <c r="M79" s="9">
        <v>18970</v>
      </c>
      <c r="N79" s="9">
        <v>19960</v>
      </c>
      <c r="O79" s="9">
        <v>23550</v>
      </c>
      <c r="P79" s="9">
        <v>23570</v>
      </c>
      <c r="Q79" s="9">
        <v>23270</v>
      </c>
      <c r="R79" s="9">
        <v>23870</v>
      </c>
      <c r="S79" s="9">
        <v>23750</v>
      </c>
      <c r="T79" s="9">
        <v>24360</v>
      </c>
      <c r="U79" s="9">
        <v>24810</v>
      </c>
      <c r="V79" s="9">
        <v>25800</v>
      </c>
      <c r="W79" s="9">
        <v>26350</v>
      </c>
      <c r="X79" s="9">
        <v>27120</v>
      </c>
      <c r="Y79" s="9">
        <v>27870</v>
      </c>
      <c r="Z79" s="9">
        <v>28270</v>
      </c>
      <c r="AA79" s="9">
        <v>29600</v>
      </c>
      <c r="AB79" s="9">
        <v>30040</v>
      </c>
      <c r="AC79" s="9">
        <v>31460</v>
      </c>
      <c r="AD79" s="9">
        <v>32060</v>
      </c>
      <c r="AE79" s="9">
        <v>32260</v>
      </c>
      <c r="AF79" s="9">
        <v>31570</v>
      </c>
      <c r="AG79" s="9">
        <v>30440</v>
      </c>
      <c r="AH79" s="9">
        <v>30230</v>
      </c>
      <c r="AI79" s="9">
        <v>30740</v>
      </c>
      <c r="AJ79" s="9">
        <v>31000</v>
      </c>
      <c r="AK79" s="9">
        <v>31520</v>
      </c>
      <c r="AL79" s="9">
        <v>31500</v>
      </c>
      <c r="AM79" s="9">
        <v>32610</v>
      </c>
      <c r="AN79" s="9">
        <v>32010</v>
      </c>
      <c r="AO79" s="9">
        <v>30970</v>
      </c>
      <c r="AP79" s="9">
        <v>29900</v>
      </c>
      <c r="AQ79" s="9">
        <v>28730</v>
      </c>
      <c r="AR79" s="9">
        <v>27430</v>
      </c>
      <c r="AS79" s="9">
        <v>27420</v>
      </c>
      <c r="AT79" s="9">
        <v>27160</v>
      </c>
      <c r="AU79" s="9">
        <v>28020</v>
      </c>
      <c r="AV79" s="9">
        <v>28020</v>
      </c>
      <c r="AW79" s="9">
        <v>28150</v>
      </c>
      <c r="AX79" s="9">
        <v>28840</v>
      </c>
      <c r="AY79" s="9">
        <v>29470</v>
      </c>
      <c r="AZ79" s="9">
        <v>29760</v>
      </c>
      <c r="BA79" s="9">
        <v>30360</v>
      </c>
      <c r="BB79" s="9">
        <v>30680</v>
      </c>
      <c r="BC79" s="9">
        <v>31570</v>
      </c>
      <c r="BD79" s="9">
        <v>33100</v>
      </c>
      <c r="BE79" s="9">
        <v>33800</v>
      </c>
      <c r="BF79" s="9">
        <v>35400</v>
      </c>
      <c r="BG79" s="9">
        <v>36440</v>
      </c>
      <c r="BH79" s="9">
        <v>35590</v>
      </c>
      <c r="BI79" s="9">
        <v>35600</v>
      </c>
      <c r="BJ79" s="9">
        <v>35040</v>
      </c>
      <c r="BK79" s="9">
        <v>35100</v>
      </c>
      <c r="BL79" s="9">
        <v>34580</v>
      </c>
      <c r="BM79" s="9">
        <v>34690</v>
      </c>
      <c r="BN79" s="9">
        <v>34280</v>
      </c>
      <c r="BO79" s="9">
        <v>33400</v>
      </c>
    </row>
    <row r="80" spans="3:67" x14ac:dyDescent="0.2">
      <c r="C80" s="3">
        <v>70</v>
      </c>
      <c r="E80" s="9">
        <v>13460</v>
      </c>
      <c r="F80" s="9">
        <v>13990</v>
      </c>
      <c r="G80" s="9">
        <v>14400</v>
      </c>
      <c r="H80" s="9">
        <v>15000</v>
      </c>
      <c r="I80" s="9">
        <v>16170</v>
      </c>
      <c r="J80" s="9">
        <v>17450</v>
      </c>
      <c r="K80" s="9">
        <v>17790</v>
      </c>
      <c r="L80" s="9">
        <v>15930</v>
      </c>
      <c r="M80" s="9">
        <v>17750</v>
      </c>
      <c r="N80" s="9">
        <v>18840</v>
      </c>
      <c r="O80" s="9">
        <v>19810</v>
      </c>
      <c r="P80" s="9">
        <v>23340</v>
      </c>
      <c r="Q80" s="9">
        <v>23380</v>
      </c>
      <c r="R80" s="9">
        <v>23080</v>
      </c>
      <c r="S80" s="9">
        <v>23680</v>
      </c>
      <c r="T80" s="9">
        <v>23570</v>
      </c>
      <c r="U80" s="9">
        <v>24180</v>
      </c>
      <c r="V80" s="9">
        <v>24640</v>
      </c>
      <c r="W80" s="9">
        <v>25620</v>
      </c>
      <c r="X80" s="9">
        <v>26180</v>
      </c>
      <c r="Y80" s="9">
        <v>26950</v>
      </c>
      <c r="Z80" s="9">
        <v>27690</v>
      </c>
      <c r="AA80" s="9">
        <v>28090</v>
      </c>
      <c r="AB80" s="9">
        <v>29420</v>
      </c>
      <c r="AC80" s="9">
        <v>29870</v>
      </c>
      <c r="AD80" s="9">
        <v>31280</v>
      </c>
      <c r="AE80" s="9">
        <v>31880</v>
      </c>
      <c r="AF80" s="9">
        <v>32080</v>
      </c>
      <c r="AG80" s="9">
        <v>31410</v>
      </c>
      <c r="AH80" s="9">
        <v>30290</v>
      </c>
      <c r="AI80" s="9">
        <v>30090</v>
      </c>
      <c r="AJ80" s="9">
        <v>30600</v>
      </c>
      <c r="AK80" s="9">
        <v>30860</v>
      </c>
      <c r="AL80" s="9">
        <v>31380</v>
      </c>
      <c r="AM80" s="9">
        <v>31370</v>
      </c>
      <c r="AN80" s="9">
        <v>32470</v>
      </c>
      <c r="AO80" s="9">
        <v>31890</v>
      </c>
      <c r="AP80" s="9">
        <v>30850</v>
      </c>
      <c r="AQ80" s="9">
        <v>29790</v>
      </c>
      <c r="AR80" s="9">
        <v>28630</v>
      </c>
      <c r="AS80" s="9">
        <v>27340</v>
      </c>
      <c r="AT80" s="9">
        <v>27340</v>
      </c>
      <c r="AU80" s="9">
        <v>27080</v>
      </c>
      <c r="AV80" s="9">
        <v>27930</v>
      </c>
      <c r="AW80" s="9">
        <v>27940</v>
      </c>
      <c r="AX80" s="9">
        <v>28070</v>
      </c>
      <c r="AY80" s="9">
        <v>28770</v>
      </c>
      <c r="AZ80" s="9">
        <v>29400</v>
      </c>
      <c r="BA80" s="9">
        <v>29690</v>
      </c>
      <c r="BB80" s="9">
        <v>30280</v>
      </c>
      <c r="BC80" s="9">
        <v>30610</v>
      </c>
      <c r="BD80" s="9">
        <v>31500</v>
      </c>
      <c r="BE80" s="9">
        <v>33030</v>
      </c>
      <c r="BF80" s="9">
        <v>33730</v>
      </c>
      <c r="BG80" s="9">
        <v>35320</v>
      </c>
      <c r="BH80" s="9">
        <v>36370</v>
      </c>
      <c r="BI80" s="9">
        <v>35520</v>
      </c>
      <c r="BJ80" s="9">
        <v>35530</v>
      </c>
      <c r="BK80" s="9">
        <v>34980</v>
      </c>
      <c r="BL80" s="9">
        <v>35040</v>
      </c>
      <c r="BM80" s="9">
        <v>34530</v>
      </c>
      <c r="BN80" s="9">
        <v>34640</v>
      </c>
      <c r="BO80" s="9">
        <v>34230</v>
      </c>
    </row>
    <row r="81" spans="3:67" x14ac:dyDescent="0.2">
      <c r="C81" s="3">
        <v>71</v>
      </c>
      <c r="E81" s="9">
        <v>12650</v>
      </c>
      <c r="F81" s="9">
        <v>13250</v>
      </c>
      <c r="G81" s="9">
        <v>13770</v>
      </c>
      <c r="H81" s="9">
        <v>14190</v>
      </c>
      <c r="I81" s="9">
        <v>14780</v>
      </c>
      <c r="J81" s="9">
        <v>15900</v>
      </c>
      <c r="K81" s="9">
        <v>17210</v>
      </c>
      <c r="L81" s="9">
        <v>17570</v>
      </c>
      <c r="M81" s="9">
        <v>15760</v>
      </c>
      <c r="N81" s="9">
        <v>17600</v>
      </c>
      <c r="O81" s="9">
        <v>18670</v>
      </c>
      <c r="P81" s="9">
        <v>19620</v>
      </c>
      <c r="Q81" s="9">
        <v>23120</v>
      </c>
      <c r="R81" s="9">
        <v>23160</v>
      </c>
      <c r="S81" s="9">
        <v>22880</v>
      </c>
      <c r="T81" s="9">
        <v>23480</v>
      </c>
      <c r="U81" s="9">
        <v>23370</v>
      </c>
      <c r="V81" s="9">
        <v>23990</v>
      </c>
      <c r="W81" s="9">
        <v>24440</v>
      </c>
      <c r="X81" s="9">
        <v>25430</v>
      </c>
      <c r="Y81" s="9">
        <v>25980</v>
      </c>
      <c r="Z81" s="9">
        <v>26750</v>
      </c>
      <c r="AA81" s="9">
        <v>27500</v>
      </c>
      <c r="AB81" s="9">
        <v>27900</v>
      </c>
      <c r="AC81" s="9">
        <v>29220</v>
      </c>
      <c r="AD81" s="9">
        <v>29680</v>
      </c>
      <c r="AE81" s="9">
        <v>31080</v>
      </c>
      <c r="AF81" s="9">
        <v>31690</v>
      </c>
      <c r="AG81" s="9">
        <v>31900</v>
      </c>
      <c r="AH81" s="9">
        <v>31230</v>
      </c>
      <c r="AI81" s="9">
        <v>30130</v>
      </c>
      <c r="AJ81" s="9">
        <v>29930</v>
      </c>
      <c r="AK81" s="9">
        <v>30440</v>
      </c>
      <c r="AL81" s="9">
        <v>30710</v>
      </c>
      <c r="AM81" s="9">
        <v>31230</v>
      </c>
      <c r="AN81" s="9">
        <v>31230</v>
      </c>
      <c r="AO81" s="9">
        <v>32330</v>
      </c>
      <c r="AP81" s="9">
        <v>31750</v>
      </c>
      <c r="AQ81" s="9">
        <v>30720</v>
      </c>
      <c r="AR81" s="9">
        <v>29670</v>
      </c>
      <c r="AS81" s="9">
        <v>28520</v>
      </c>
      <c r="AT81" s="9">
        <v>27240</v>
      </c>
      <c r="AU81" s="9">
        <v>27240</v>
      </c>
      <c r="AV81" s="9">
        <v>26990</v>
      </c>
      <c r="AW81" s="9">
        <v>27840</v>
      </c>
      <c r="AX81" s="9">
        <v>27850</v>
      </c>
      <c r="AY81" s="9">
        <v>27990</v>
      </c>
      <c r="AZ81" s="9">
        <v>28680</v>
      </c>
      <c r="BA81" s="9">
        <v>29310</v>
      </c>
      <c r="BB81" s="9">
        <v>29610</v>
      </c>
      <c r="BC81" s="9">
        <v>30200</v>
      </c>
      <c r="BD81" s="9">
        <v>30530</v>
      </c>
      <c r="BE81" s="9">
        <v>31420</v>
      </c>
      <c r="BF81" s="9">
        <v>32940</v>
      </c>
      <c r="BG81" s="9">
        <v>33650</v>
      </c>
      <c r="BH81" s="9">
        <v>35240</v>
      </c>
      <c r="BI81" s="9">
        <v>36280</v>
      </c>
      <c r="BJ81" s="9">
        <v>35440</v>
      </c>
      <c r="BK81" s="9">
        <v>35460</v>
      </c>
      <c r="BL81" s="9">
        <v>34910</v>
      </c>
      <c r="BM81" s="9">
        <v>34970</v>
      </c>
      <c r="BN81" s="9">
        <v>34460</v>
      </c>
      <c r="BO81" s="9">
        <v>34570</v>
      </c>
    </row>
    <row r="82" spans="3:67" x14ac:dyDescent="0.2">
      <c r="C82" s="3">
        <v>72</v>
      </c>
      <c r="E82" s="9">
        <v>12410</v>
      </c>
      <c r="F82" s="9">
        <v>12440</v>
      </c>
      <c r="G82" s="9">
        <v>13040</v>
      </c>
      <c r="H82" s="9">
        <v>13540</v>
      </c>
      <c r="I82" s="9">
        <v>14000</v>
      </c>
      <c r="J82" s="9">
        <v>14570</v>
      </c>
      <c r="K82" s="9">
        <v>15680</v>
      </c>
      <c r="L82" s="9">
        <v>16960</v>
      </c>
      <c r="M82" s="9">
        <v>17350</v>
      </c>
      <c r="N82" s="9">
        <v>15620</v>
      </c>
      <c r="O82" s="9">
        <v>17430</v>
      </c>
      <c r="P82" s="9">
        <v>18470</v>
      </c>
      <c r="Q82" s="9">
        <v>19410</v>
      </c>
      <c r="R82" s="9">
        <v>22880</v>
      </c>
      <c r="S82" s="9">
        <v>22930</v>
      </c>
      <c r="T82" s="9">
        <v>22660</v>
      </c>
      <c r="U82" s="9">
        <v>23260</v>
      </c>
      <c r="V82" s="9">
        <v>23160</v>
      </c>
      <c r="W82" s="9">
        <v>23770</v>
      </c>
      <c r="X82" s="9">
        <v>24230</v>
      </c>
      <c r="Y82" s="9">
        <v>25210</v>
      </c>
      <c r="Z82" s="9">
        <v>25770</v>
      </c>
      <c r="AA82" s="9">
        <v>26540</v>
      </c>
      <c r="AB82" s="9">
        <v>27290</v>
      </c>
      <c r="AC82" s="9">
        <v>27700</v>
      </c>
      <c r="AD82" s="9">
        <v>29010</v>
      </c>
      <c r="AE82" s="9">
        <v>29470</v>
      </c>
      <c r="AF82" s="9">
        <v>30870</v>
      </c>
      <c r="AG82" s="9">
        <v>31480</v>
      </c>
      <c r="AH82" s="9">
        <v>31690</v>
      </c>
      <c r="AI82" s="9">
        <v>31040</v>
      </c>
      <c r="AJ82" s="9">
        <v>29950</v>
      </c>
      <c r="AK82" s="9">
        <v>29760</v>
      </c>
      <c r="AL82" s="9">
        <v>30270</v>
      </c>
      <c r="AM82" s="9">
        <v>30540</v>
      </c>
      <c r="AN82" s="9">
        <v>31060</v>
      </c>
      <c r="AO82" s="9">
        <v>31070</v>
      </c>
      <c r="AP82" s="9">
        <v>32170</v>
      </c>
      <c r="AQ82" s="9">
        <v>31600</v>
      </c>
      <c r="AR82" s="9">
        <v>30580</v>
      </c>
      <c r="AS82" s="9">
        <v>29540</v>
      </c>
      <c r="AT82" s="9">
        <v>28400</v>
      </c>
      <c r="AU82" s="9">
        <v>27130</v>
      </c>
      <c r="AV82" s="9">
        <v>27130</v>
      </c>
      <c r="AW82" s="9">
        <v>26880</v>
      </c>
      <c r="AX82" s="9">
        <v>27740</v>
      </c>
      <c r="AY82" s="9">
        <v>27750</v>
      </c>
      <c r="AZ82" s="9">
        <v>27890</v>
      </c>
      <c r="BA82" s="9">
        <v>28580</v>
      </c>
      <c r="BB82" s="9">
        <v>29220</v>
      </c>
      <c r="BC82" s="9">
        <v>29510</v>
      </c>
      <c r="BD82" s="9">
        <v>30110</v>
      </c>
      <c r="BE82" s="9">
        <v>30440</v>
      </c>
      <c r="BF82" s="9">
        <v>31330</v>
      </c>
      <c r="BG82" s="9">
        <v>32850</v>
      </c>
      <c r="BH82" s="9">
        <v>33550</v>
      </c>
      <c r="BI82" s="9">
        <v>35140</v>
      </c>
      <c r="BJ82" s="9">
        <v>36190</v>
      </c>
      <c r="BK82" s="9">
        <v>35350</v>
      </c>
      <c r="BL82" s="9">
        <v>35370</v>
      </c>
      <c r="BM82" s="9">
        <v>34820</v>
      </c>
      <c r="BN82" s="9">
        <v>34890</v>
      </c>
      <c r="BO82" s="9">
        <v>34390</v>
      </c>
    </row>
    <row r="83" spans="3:67" x14ac:dyDescent="0.2">
      <c r="C83" s="3">
        <v>73</v>
      </c>
      <c r="E83" s="9">
        <v>12300</v>
      </c>
      <c r="F83" s="9">
        <v>12150</v>
      </c>
      <c r="G83" s="9">
        <v>12180</v>
      </c>
      <c r="H83" s="9">
        <v>12780</v>
      </c>
      <c r="I83" s="9">
        <v>13280</v>
      </c>
      <c r="J83" s="9">
        <v>13760</v>
      </c>
      <c r="K83" s="9">
        <v>14350</v>
      </c>
      <c r="L83" s="9">
        <v>15490</v>
      </c>
      <c r="M83" s="9">
        <v>16750</v>
      </c>
      <c r="N83" s="9">
        <v>17160</v>
      </c>
      <c r="O83" s="9">
        <v>15440</v>
      </c>
      <c r="P83" s="9">
        <v>17210</v>
      </c>
      <c r="Q83" s="9">
        <v>18250</v>
      </c>
      <c r="R83" s="9">
        <v>19190</v>
      </c>
      <c r="S83" s="9">
        <v>22620</v>
      </c>
      <c r="T83" s="9">
        <v>22680</v>
      </c>
      <c r="U83" s="9">
        <v>22420</v>
      </c>
      <c r="V83" s="9">
        <v>23020</v>
      </c>
      <c r="W83" s="9">
        <v>22930</v>
      </c>
      <c r="X83" s="9">
        <v>23540</v>
      </c>
      <c r="Y83" s="9">
        <v>24000</v>
      </c>
      <c r="Z83" s="9">
        <v>24980</v>
      </c>
      <c r="AA83" s="9">
        <v>25540</v>
      </c>
      <c r="AB83" s="9">
        <v>26310</v>
      </c>
      <c r="AC83" s="9">
        <v>27060</v>
      </c>
      <c r="AD83" s="9">
        <v>27470</v>
      </c>
      <c r="AE83" s="9">
        <v>28780</v>
      </c>
      <c r="AF83" s="9">
        <v>29240</v>
      </c>
      <c r="AG83" s="9">
        <v>30640</v>
      </c>
      <c r="AH83" s="9">
        <v>31250</v>
      </c>
      <c r="AI83" s="9">
        <v>31470</v>
      </c>
      <c r="AJ83" s="9">
        <v>30820</v>
      </c>
      <c r="AK83" s="9">
        <v>29750</v>
      </c>
      <c r="AL83" s="9">
        <v>29570</v>
      </c>
      <c r="AM83" s="9">
        <v>30080</v>
      </c>
      <c r="AN83" s="9">
        <v>30360</v>
      </c>
      <c r="AO83" s="9">
        <v>30880</v>
      </c>
      <c r="AP83" s="9">
        <v>30890</v>
      </c>
      <c r="AQ83" s="9">
        <v>31990</v>
      </c>
      <c r="AR83" s="9">
        <v>31430</v>
      </c>
      <c r="AS83" s="9">
        <v>30420</v>
      </c>
      <c r="AT83" s="9">
        <v>29390</v>
      </c>
      <c r="AU83" s="9">
        <v>28260</v>
      </c>
      <c r="AV83" s="9">
        <v>27000</v>
      </c>
      <c r="AW83" s="9">
        <v>27010</v>
      </c>
      <c r="AX83" s="9">
        <v>26770</v>
      </c>
      <c r="AY83" s="9">
        <v>27620</v>
      </c>
      <c r="AZ83" s="9">
        <v>27630</v>
      </c>
      <c r="BA83" s="9">
        <v>27780</v>
      </c>
      <c r="BB83" s="9">
        <v>28470</v>
      </c>
      <c r="BC83" s="9">
        <v>29110</v>
      </c>
      <c r="BD83" s="9">
        <v>29410</v>
      </c>
      <c r="BE83" s="9">
        <v>30000</v>
      </c>
      <c r="BF83" s="9">
        <v>30330</v>
      </c>
      <c r="BG83" s="9">
        <v>31230</v>
      </c>
      <c r="BH83" s="9">
        <v>32740</v>
      </c>
      <c r="BI83" s="9">
        <v>33450</v>
      </c>
      <c r="BJ83" s="9">
        <v>35030</v>
      </c>
      <c r="BK83" s="9">
        <v>36080</v>
      </c>
      <c r="BL83" s="9">
        <v>35250</v>
      </c>
      <c r="BM83" s="9">
        <v>35270</v>
      </c>
      <c r="BN83" s="9">
        <v>34730</v>
      </c>
      <c r="BO83" s="9">
        <v>34800</v>
      </c>
    </row>
    <row r="84" spans="3:67" x14ac:dyDescent="0.2">
      <c r="C84" s="3">
        <v>74</v>
      </c>
      <c r="E84" s="9">
        <v>11960</v>
      </c>
      <c r="F84" s="9">
        <v>12030</v>
      </c>
      <c r="G84" s="9">
        <v>11880</v>
      </c>
      <c r="H84" s="9">
        <v>11930</v>
      </c>
      <c r="I84" s="9">
        <v>12500</v>
      </c>
      <c r="J84" s="9">
        <v>13050</v>
      </c>
      <c r="K84" s="9">
        <v>13510</v>
      </c>
      <c r="L84" s="9">
        <v>14060</v>
      </c>
      <c r="M84" s="9">
        <v>15280</v>
      </c>
      <c r="N84" s="9">
        <v>16540</v>
      </c>
      <c r="O84" s="9">
        <v>16940</v>
      </c>
      <c r="P84" s="9">
        <v>15230</v>
      </c>
      <c r="Q84" s="9">
        <v>16990</v>
      </c>
      <c r="R84" s="9">
        <v>18010</v>
      </c>
      <c r="S84" s="9">
        <v>18950</v>
      </c>
      <c r="T84" s="9">
        <v>22340</v>
      </c>
      <c r="U84" s="9">
        <v>22410</v>
      </c>
      <c r="V84" s="9">
        <v>22160</v>
      </c>
      <c r="W84" s="9">
        <v>22760</v>
      </c>
      <c r="X84" s="9">
        <v>22680</v>
      </c>
      <c r="Y84" s="9">
        <v>23290</v>
      </c>
      <c r="Z84" s="9">
        <v>23760</v>
      </c>
      <c r="AA84" s="9">
        <v>24730</v>
      </c>
      <c r="AB84" s="9">
        <v>25290</v>
      </c>
      <c r="AC84" s="9">
        <v>26060</v>
      </c>
      <c r="AD84" s="9">
        <v>26810</v>
      </c>
      <c r="AE84" s="9">
        <v>27220</v>
      </c>
      <c r="AF84" s="9">
        <v>28530</v>
      </c>
      <c r="AG84" s="9">
        <v>28990</v>
      </c>
      <c r="AH84" s="9">
        <v>30380</v>
      </c>
      <c r="AI84" s="9">
        <v>31000</v>
      </c>
      <c r="AJ84" s="9">
        <v>31220</v>
      </c>
      <c r="AK84" s="9">
        <v>30590</v>
      </c>
      <c r="AL84" s="9">
        <v>29530</v>
      </c>
      <c r="AM84" s="9">
        <v>29360</v>
      </c>
      <c r="AN84" s="9">
        <v>29880</v>
      </c>
      <c r="AO84" s="9">
        <v>30150</v>
      </c>
      <c r="AP84" s="9">
        <v>30680</v>
      </c>
      <c r="AQ84" s="9">
        <v>30690</v>
      </c>
      <c r="AR84" s="9">
        <v>31790</v>
      </c>
      <c r="AS84" s="9">
        <v>31240</v>
      </c>
      <c r="AT84" s="9">
        <v>30240</v>
      </c>
      <c r="AU84" s="9">
        <v>29220</v>
      </c>
      <c r="AV84" s="9">
        <v>28110</v>
      </c>
      <c r="AW84" s="9">
        <v>26860</v>
      </c>
      <c r="AX84" s="9">
        <v>26870</v>
      </c>
      <c r="AY84" s="9">
        <v>26640</v>
      </c>
      <c r="AZ84" s="9">
        <v>27490</v>
      </c>
      <c r="BA84" s="9">
        <v>27510</v>
      </c>
      <c r="BB84" s="9">
        <v>27650</v>
      </c>
      <c r="BC84" s="9">
        <v>28350</v>
      </c>
      <c r="BD84" s="9">
        <v>28980</v>
      </c>
      <c r="BE84" s="9">
        <v>29280</v>
      </c>
      <c r="BF84" s="9">
        <v>29880</v>
      </c>
      <c r="BG84" s="9">
        <v>30220</v>
      </c>
      <c r="BH84" s="9">
        <v>31110</v>
      </c>
      <c r="BI84" s="9">
        <v>32620</v>
      </c>
      <c r="BJ84" s="9">
        <v>33330</v>
      </c>
      <c r="BK84" s="9">
        <v>34910</v>
      </c>
      <c r="BL84" s="9">
        <v>35960</v>
      </c>
      <c r="BM84" s="9">
        <v>35130</v>
      </c>
      <c r="BN84" s="9">
        <v>35160</v>
      </c>
      <c r="BO84" s="9">
        <v>34630</v>
      </c>
    </row>
    <row r="85" spans="3:67" x14ac:dyDescent="0.2">
      <c r="C85" s="3">
        <v>75</v>
      </c>
      <c r="E85" s="9">
        <v>12130</v>
      </c>
      <c r="F85" s="9">
        <v>11650</v>
      </c>
      <c r="G85" s="9">
        <v>11720</v>
      </c>
      <c r="H85" s="9">
        <v>11580</v>
      </c>
      <c r="I85" s="9">
        <v>11660</v>
      </c>
      <c r="J85" s="9">
        <v>12210</v>
      </c>
      <c r="K85" s="9">
        <v>12750</v>
      </c>
      <c r="L85" s="9">
        <v>13220</v>
      </c>
      <c r="M85" s="9">
        <v>13820</v>
      </c>
      <c r="N85" s="9">
        <v>15060</v>
      </c>
      <c r="O85" s="9">
        <v>16290</v>
      </c>
      <c r="P85" s="9">
        <v>16670</v>
      </c>
      <c r="Q85" s="9">
        <v>15010</v>
      </c>
      <c r="R85" s="9">
        <v>16740</v>
      </c>
      <c r="S85" s="9">
        <v>17760</v>
      </c>
      <c r="T85" s="9">
        <v>18680</v>
      </c>
      <c r="U85" s="9">
        <v>22040</v>
      </c>
      <c r="V85" s="9">
        <v>22110</v>
      </c>
      <c r="W85" s="9">
        <v>21870</v>
      </c>
      <c r="X85" s="9">
        <v>22470</v>
      </c>
      <c r="Y85" s="9">
        <v>22400</v>
      </c>
      <c r="Z85" s="9">
        <v>23020</v>
      </c>
      <c r="AA85" s="9">
        <v>23480</v>
      </c>
      <c r="AB85" s="9">
        <v>24460</v>
      </c>
      <c r="AC85" s="9">
        <v>25020</v>
      </c>
      <c r="AD85" s="9">
        <v>25790</v>
      </c>
      <c r="AE85" s="9">
        <v>26530</v>
      </c>
      <c r="AF85" s="9">
        <v>26950</v>
      </c>
      <c r="AG85" s="9">
        <v>28250</v>
      </c>
      <c r="AH85" s="9">
        <v>28720</v>
      </c>
      <c r="AI85" s="9">
        <v>30100</v>
      </c>
      <c r="AJ85" s="9">
        <v>30720</v>
      </c>
      <c r="AK85" s="9">
        <v>30950</v>
      </c>
      <c r="AL85" s="9">
        <v>30330</v>
      </c>
      <c r="AM85" s="9">
        <v>29290</v>
      </c>
      <c r="AN85" s="9">
        <v>29120</v>
      </c>
      <c r="AO85" s="9">
        <v>29640</v>
      </c>
      <c r="AP85" s="9">
        <v>29930</v>
      </c>
      <c r="AQ85" s="9">
        <v>30460</v>
      </c>
      <c r="AR85" s="9">
        <v>30480</v>
      </c>
      <c r="AS85" s="9">
        <v>31570</v>
      </c>
      <c r="AT85" s="9">
        <v>31030</v>
      </c>
      <c r="AU85" s="9">
        <v>30050</v>
      </c>
      <c r="AV85" s="9">
        <v>29040</v>
      </c>
      <c r="AW85" s="9">
        <v>27940</v>
      </c>
      <c r="AX85" s="9">
        <v>26710</v>
      </c>
      <c r="AY85" s="9">
        <v>26720</v>
      </c>
      <c r="AZ85" s="9">
        <v>26490</v>
      </c>
      <c r="BA85" s="9">
        <v>27340</v>
      </c>
      <c r="BB85" s="9">
        <v>27360</v>
      </c>
      <c r="BC85" s="9">
        <v>27510</v>
      </c>
      <c r="BD85" s="9">
        <v>28210</v>
      </c>
      <c r="BE85" s="9">
        <v>28850</v>
      </c>
      <c r="BF85" s="9">
        <v>29150</v>
      </c>
      <c r="BG85" s="9">
        <v>29750</v>
      </c>
      <c r="BH85" s="9">
        <v>30080</v>
      </c>
      <c r="BI85" s="9">
        <v>30970</v>
      </c>
      <c r="BJ85" s="9">
        <v>32490</v>
      </c>
      <c r="BK85" s="9">
        <v>33190</v>
      </c>
      <c r="BL85" s="9">
        <v>34770</v>
      </c>
      <c r="BM85" s="9">
        <v>35820</v>
      </c>
      <c r="BN85" s="9">
        <v>35000</v>
      </c>
      <c r="BO85" s="9">
        <v>35030</v>
      </c>
    </row>
    <row r="86" spans="3:67" x14ac:dyDescent="0.2">
      <c r="C86" s="3">
        <v>76</v>
      </c>
      <c r="E86" s="9">
        <v>11810</v>
      </c>
      <c r="F86" s="9">
        <v>11810</v>
      </c>
      <c r="G86" s="9">
        <v>11370</v>
      </c>
      <c r="H86" s="9">
        <v>11450</v>
      </c>
      <c r="I86" s="9">
        <v>11320</v>
      </c>
      <c r="J86" s="9">
        <v>11380</v>
      </c>
      <c r="K86" s="9">
        <v>11880</v>
      </c>
      <c r="L86" s="9">
        <v>12470</v>
      </c>
      <c r="M86" s="9">
        <v>12960</v>
      </c>
      <c r="N86" s="9">
        <v>13590</v>
      </c>
      <c r="O86" s="9">
        <v>14810</v>
      </c>
      <c r="P86" s="9">
        <v>16010</v>
      </c>
      <c r="Q86" s="9">
        <v>16390</v>
      </c>
      <c r="R86" s="9">
        <v>14760</v>
      </c>
      <c r="S86" s="9">
        <v>16470</v>
      </c>
      <c r="T86" s="9">
        <v>17480</v>
      </c>
      <c r="U86" s="9">
        <v>18400</v>
      </c>
      <c r="V86" s="9">
        <v>21710</v>
      </c>
      <c r="W86" s="9">
        <v>21790</v>
      </c>
      <c r="X86" s="9">
        <v>21560</v>
      </c>
      <c r="Y86" s="9">
        <v>22160</v>
      </c>
      <c r="Z86" s="9">
        <v>22100</v>
      </c>
      <c r="AA86" s="9">
        <v>22720</v>
      </c>
      <c r="AB86" s="9">
        <v>23190</v>
      </c>
      <c r="AC86" s="9">
        <v>24150</v>
      </c>
      <c r="AD86" s="9">
        <v>24720</v>
      </c>
      <c r="AE86" s="9">
        <v>25480</v>
      </c>
      <c r="AF86" s="9">
        <v>26230</v>
      </c>
      <c r="AG86" s="9">
        <v>26650</v>
      </c>
      <c r="AH86" s="9">
        <v>27950</v>
      </c>
      <c r="AI86" s="9">
        <v>28420</v>
      </c>
      <c r="AJ86" s="9">
        <v>29800</v>
      </c>
      <c r="AK86" s="9">
        <v>30420</v>
      </c>
      <c r="AL86" s="9">
        <v>30650</v>
      </c>
      <c r="AM86" s="9">
        <v>30050</v>
      </c>
      <c r="AN86" s="9">
        <v>29020</v>
      </c>
      <c r="AO86" s="9">
        <v>28860</v>
      </c>
      <c r="AP86" s="9">
        <v>29390</v>
      </c>
      <c r="AQ86" s="9">
        <v>29680</v>
      </c>
      <c r="AR86" s="9">
        <v>30210</v>
      </c>
      <c r="AS86" s="9">
        <v>30230</v>
      </c>
      <c r="AT86" s="9">
        <v>31330</v>
      </c>
      <c r="AU86" s="9">
        <v>30800</v>
      </c>
      <c r="AV86" s="9">
        <v>29830</v>
      </c>
      <c r="AW86" s="9">
        <v>28830</v>
      </c>
      <c r="AX86" s="9">
        <v>27750</v>
      </c>
      <c r="AY86" s="9">
        <v>26530</v>
      </c>
      <c r="AZ86" s="9">
        <v>26550</v>
      </c>
      <c r="BA86" s="9">
        <v>26320</v>
      </c>
      <c r="BB86" s="9">
        <v>27170</v>
      </c>
      <c r="BC86" s="9">
        <v>27200</v>
      </c>
      <c r="BD86" s="9">
        <v>27350</v>
      </c>
      <c r="BE86" s="9">
        <v>28050</v>
      </c>
      <c r="BF86" s="9">
        <v>28690</v>
      </c>
      <c r="BG86" s="9">
        <v>28990</v>
      </c>
      <c r="BH86" s="9">
        <v>29590</v>
      </c>
      <c r="BI86" s="9">
        <v>29930</v>
      </c>
      <c r="BJ86" s="9">
        <v>30820</v>
      </c>
      <c r="BK86" s="9">
        <v>32330</v>
      </c>
      <c r="BL86" s="9">
        <v>33040</v>
      </c>
      <c r="BM86" s="9">
        <v>34610</v>
      </c>
      <c r="BN86" s="9">
        <v>35660</v>
      </c>
      <c r="BO86" s="9">
        <v>34850</v>
      </c>
    </row>
    <row r="87" spans="3:67" x14ac:dyDescent="0.2">
      <c r="C87" s="3">
        <v>77</v>
      </c>
      <c r="E87" s="9">
        <v>11080</v>
      </c>
      <c r="F87" s="9">
        <v>11460</v>
      </c>
      <c r="G87" s="9">
        <v>11470</v>
      </c>
      <c r="H87" s="9">
        <v>11050</v>
      </c>
      <c r="I87" s="9">
        <v>11120</v>
      </c>
      <c r="J87" s="9">
        <v>11050</v>
      </c>
      <c r="K87" s="9">
        <v>11070</v>
      </c>
      <c r="L87" s="9">
        <v>11540</v>
      </c>
      <c r="M87" s="9">
        <v>12160</v>
      </c>
      <c r="N87" s="9">
        <v>12710</v>
      </c>
      <c r="O87" s="9">
        <v>13330</v>
      </c>
      <c r="P87" s="9">
        <v>14510</v>
      </c>
      <c r="Q87" s="9">
        <v>15700</v>
      </c>
      <c r="R87" s="9">
        <v>16080</v>
      </c>
      <c r="S87" s="9">
        <v>14490</v>
      </c>
      <c r="T87" s="9">
        <v>16170</v>
      </c>
      <c r="U87" s="9">
        <v>17170</v>
      </c>
      <c r="V87" s="9">
        <v>18090</v>
      </c>
      <c r="W87" s="9">
        <v>21350</v>
      </c>
      <c r="X87" s="9">
        <v>21440</v>
      </c>
      <c r="Y87" s="9">
        <v>21220</v>
      </c>
      <c r="Z87" s="9">
        <v>21830</v>
      </c>
      <c r="AA87" s="9">
        <v>21770</v>
      </c>
      <c r="AB87" s="9">
        <v>22390</v>
      </c>
      <c r="AC87" s="9">
        <v>22860</v>
      </c>
      <c r="AD87" s="9">
        <v>23820</v>
      </c>
      <c r="AE87" s="9">
        <v>24390</v>
      </c>
      <c r="AF87" s="9">
        <v>25150</v>
      </c>
      <c r="AG87" s="9">
        <v>25900</v>
      </c>
      <c r="AH87" s="9">
        <v>26320</v>
      </c>
      <c r="AI87" s="9">
        <v>27610</v>
      </c>
      <c r="AJ87" s="9">
        <v>28080</v>
      </c>
      <c r="AK87" s="9">
        <v>29460</v>
      </c>
      <c r="AL87" s="9">
        <v>30080</v>
      </c>
      <c r="AM87" s="9">
        <v>30320</v>
      </c>
      <c r="AN87" s="9">
        <v>29730</v>
      </c>
      <c r="AO87" s="9">
        <v>28720</v>
      </c>
      <c r="AP87" s="9">
        <v>28570</v>
      </c>
      <c r="AQ87" s="9">
        <v>29100</v>
      </c>
      <c r="AR87" s="9">
        <v>29390</v>
      </c>
      <c r="AS87" s="9">
        <v>29930</v>
      </c>
      <c r="AT87" s="9">
        <v>29960</v>
      </c>
      <c r="AU87" s="9">
        <v>31050</v>
      </c>
      <c r="AV87" s="9">
        <v>30530</v>
      </c>
      <c r="AW87" s="9">
        <v>29580</v>
      </c>
      <c r="AX87" s="9">
        <v>28600</v>
      </c>
      <c r="AY87" s="9">
        <v>27530</v>
      </c>
      <c r="AZ87" s="9">
        <v>26320</v>
      </c>
      <c r="BA87" s="9">
        <v>26350</v>
      </c>
      <c r="BB87" s="9">
        <v>26130</v>
      </c>
      <c r="BC87" s="9">
        <v>26980</v>
      </c>
      <c r="BD87" s="9">
        <v>27010</v>
      </c>
      <c r="BE87" s="9">
        <v>27170</v>
      </c>
      <c r="BF87" s="9">
        <v>27870</v>
      </c>
      <c r="BG87" s="9">
        <v>28510</v>
      </c>
      <c r="BH87" s="9">
        <v>28810</v>
      </c>
      <c r="BI87" s="9">
        <v>29410</v>
      </c>
      <c r="BJ87" s="9">
        <v>29760</v>
      </c>
      <c r="BK87" s="9">
        <v>30650</v>
      </c>
      <c r="BL87" s="9">
        <v>32150</v>
      </c>
      <c r="BM87" s="9">
        <v>32860</v>
      </c>
      <c r="BN87" s="9">
        <v>34430</v>
      </c>
      <c r="BO87" s="9">
        <v>35480</v>
      </c>
    </row>
    <row r="88" spans="3:67" x14ac:dyDescent="0.2">
      <c r="C88" s="3">
        <v>78</v>
      </c>
      <c r="E88" s="9">
        <v>10800</v>
      </c>
      <c r="F88" s="9">
        <v>10740</v>
      </c>
      <c r="G88" s="9">
        <v>11110</v>
      </c>
      <c r="H88" s="9">
        <v>11130</v>
      </c>
      <c r="I88" s="9">
        <v>10710</v>
      </c>
      <c r="J88" s="9">
        <v>10800</v>
      </c>
      <c r="K88" s="9">
        <v>10750</v>
      </c>
      <c r="L88" s="9">
        <v>10730</v>
      </c>
      <c r="M88" s="9">
        <v>11230</v>
      </c>
      <c r="N88" s="9">
        <v>11900</v>
      </c>
      <c r="O88" s="9">
        <v>12430</v>
      </c>
      <c r="P88" s="9">
        <v>13030</v>
      </c>
      <c r="Q88" s="9">
        <v>14190</v>
      </c>
      <c r="R88" s="9">
        <v>15360</v>
      </c>
      <c r="S88" s="9">
        <v>15740</v>
      </c>
      <c r="T88" s="9">
        <v>14190</v>
      </c>
      <c r="U88" s="9">
        <v>15850</v>
      </c>
      <c r="V88" s="9">
        <v>16840</v>
      </c>
      <c r="W88" s="9">
        <v>17750</v>
      </c>
      <c r="X88" s="9">
        <v>20960</v>
      </c>
      <c r="Y88" s="9">
        <v>21050</v>
      </c>
      <c r="Z88" s="9">
        <v>20850</v>
      </c>
      <c r="AA88" s="9">
        <v>21450</v>
      </c>
      <c r="AB88" s="9">
        <v>21410</v>
      </c>
      <c r="AC88" s="9">
        <v>22030</v>
      </c>
      <c r="AD88" s="9">
        <v>22500</v>
      </c>
      <c r="AE88" s="9">
        <v>23460</v>
      </c>
      <c r="AF88" s="9">
        <v>24020</v>
      </c>
      <c r="AG88" s="9">
        <v>24780</v>
      </c>
      <c r="AH88" s="9">
        <v>25530</v>
      </c>
      <c r="AI88" s="9">
        <v>25960</v>
      </c>
      <c r="AJ88" s="9">
        <v>27240</v>
      </c>
      <c r="AK88" s="9">
        <v>27710</v>
      </c>
      <c r="AL88" s="9">
        <v>29080</v>
      </c>
      <c r="AM88" s="9">
        <v>29700</v>
      </c>
      <c r="AN88" s="9">
        <v>29950</v>
      </c>
      <c r="AO88" s="9">
        <v>29370</v>
      </c>
      <c r="AP88" s="9">
        <v>28390</v>
      </c>
      <c r="AQ88" s="9">
        <v>28250</v>
      </c>
      <c r="AR88" s="9">
        <v>28780</v>
      </c>
      <c r="AS88" s="9">
        <v>29080</v>
      </c>
      <c r="AT88" s="9">
        <v>29610</v>
      </c>
      <c r="AU88" s="9">
        <v>29660</v>
      </c>
      <c r="AV88" s="9">
        <v>30740</v>
      </c>
      <c r="AW88" s="9">
        <v>30240</v>
      </c>
      <c r="AX88" s="9">
        <v>29300</v>
      </c>
      <c r="AY88" s="9">
        <v>28340</v>
      </c>
      <c r="AZ88" s="9">
        <v>27280</v>
      </c>
      <c r="BA88" s="9">
        <v>26100</v>
      </c>
      <c r="BB88" s="9">
        <v>26130</v>
      </c>
      <c r="BC88" s="9">
        <v>25920</v>
      </c>
      <c r="BD88" s="9">
        <v>26770</v>
      </c>
      <c r="BE88" s="9">
        <v>26800</v>
      </c>
      <c r="BF88" s="9">
        <v>26960</v>
      </c>
      <c r="BG88" s="9">
        <v>27660</v>
      </c>
      <c r="BH88" s="9">
        <v>28300</v>
      </c>
      <c r="BI88" s="9">
        <v>28610</v>
      </c>
      <c r="BJ88" s="9">
        <v>29210</v>
      </c>
      <c r="BK88" s="9">
        <v>29560</v>
      </c>
      <c r="BL88" s="9">
        <v>30450</v>
      </c>
      <c r="BM88" s="9">
        <v>31950</v>
      </c>
      <c r="BN88" s="9">
        <v>32650</v>
      </c>
      <c r="BO88" s="9">
        <v>34220</v>
      </c>
    </row>
    <row r="89" spans="3:67" x14ac:dyDescent="0.2">
      <c r="C89" s="3">
        <v>79</v>
      </c>
      <c r="E89" s="9">
        <v>10220</v>
      </c>
      <c r="F89" s="9">
        <v>10390</v>
      </c>
      <c r="G89" s="9">
        <v>10360</v>
      </c>
      <c r="H89" s="9">
        <v>10710</v>
      </c>
      <c r="I89" s="9">
        <v>10800</v>
      </c>
      <c r="J89" s="9">
        <v>10360</v>
      </c>
      <c r="K89" s="9">
        <v>10460</v>
      </c>
      <c r="L89" s="9">
        <v>10380</v>
      </c>
      <c r="M89" s="9">
        <v>10400</v>
      </c>
      <c r="N89" s="9">
        <v>10950</v>
      </c>
      <c r="O89" s="9">
        <v>11600</v>
      </c>
      <c r="P89" s="9">
        <v>12110</v>
      </c>
      <c r="Q89" s="9">
        <v>12700</v>
      </c>
      <c r="R89" s="9">
        <v>13850</v>
      </c>
      <c r="S89" s="9">
        <v>15000</v>
      </c>
      <c r="T89" s="9">
        <v>15380</v>
      </c>
      <c r="U89" s="9">
        <v>13870</v>
      </c>
      <c r="V89" s="9">
        <v>15500</v>
      </c>
      <c r="W89" s="9">
        <v>16480</v>
      </c>
      <c r="X89" s="9">
        <v>17370</v>
      </c>
      <c r="Y89" s="9">
        <v>20520</v>
      </c>
      <c r="Z89" s="9">
        <v>20630</v>
      </c>
      <c r="AA89" s="9">
        <v>20440</v>
      </c>
      <c r="AB89" s="9">
        <v>21040</v>
      </c>
      <c r="AC89" s="9">
        <v>21010</v>
      </c>
      <c r="AD89" s="9">
        <v>21630</v>
      </c>
      <c r="AE89" s="9">
        <v>22100</v>
      </c>
      <c r="AF89" s="9">
        <v>23050</v>
      </c>
      <c r="AG89" s="9">
        <v>23610</v>
      </c>
      <c r="AH89" s="9">
        <v>24370</v>
      </c>
      <c r="AI89" s="9">
        <v>25120</v>
      </c>
      <c r="AJ89" s="9">
        <v>25550</v>
      </c>
      <c r="AK89" s="9">
        <v>26820</v>
      </c>
      <c r="AL89" s="9">
        <v>27300</v>
      </c>
      <c r="AM89" s="9">
        <v>28650</v>
      </c>
      <c r="AN89" s="9">
        <v>29280</v>
      </c>
      <c r="AO89" s="9">
        <v>29530</v>
      </c>
      <c r="AP89" s="9">
        <v>28980</v>
      </c>
      <c r="AQ89" s="9">
        <v>28020</v>
      </c>
      <c r="AR89" s="9">
        <v>27890</v>
      </c>
      <c r="AS89" s="9">
        <v>28420</v>
      </c>
      <c r="AT89" s="9">
        <v>28720</v>
      </c>
      <c r="AU89" s="9">
        <v>29260</v>
      </c>
      <c r="AV89" s="9">
        <v>29310</v>
      </c>
      <c r="AW89" s="9">
        <v>30390</v>
      </c>
      <c r="AX89" s="9">
        <v>29900</v>
      </c>
      <c r="AY89" s="9">
        <v>28980</v>
      </c>
      <c r="AZ89" s="9">
        <v>28040</v>
      </c>
      <c r="BA89" s="9">
        <v>27000</v>
      </c>
      <c r="BB89" s="9">
        <v>25830</v>
      </c>
      <c r="BC89" s="9">
        <v>25870</v>
      </c>
      <c r="BD89" s="9">
        <v>25670</v>
      </c>
      <c r="BE89" s="9">
        <v>26520</v>
      </c>
      <c r="BF89" s="9">
        <v>26560</v>
      </c>
      <c r="BG89" s="9">
        <v>26730</v>
      </c>
      <c r="BH89" s="9">
        <v>27420</v>
      </c>
      <c r="BI89" s="9">
        <v>28060</v>
      </c>
      <c r="BJ89" s="9">
        <v>28370</v>
      </c>
      <c r="BK89" s="9">
        <v>28980</v>
      </c>
      <c r="BL89" s="9">
        <v>29320</v>
      </c>
      <c r="BM89" s="9">
        <v>30210</v>
      </c>
      <c r="BN89" s="9">
        <v>31710</v>
      </c>
      <c r="BO89" s="9">
        <v>32420</v>
      </c>
    </row>
    <row r="90" spans="3:67" x14ac:dyDescent="0.2">
      <c r="C90" s="3">
        <v>80</v>
      </c>
      <c r="E90" s="9">
        <v>9890</v>
      </c>
      <c r="F90" s="9">
        <v>9830</v>
      </c>
      <c r="G90" s="9">
        <v>9990</v>
      </c>
      <c r="H90" s="9">
        <v>9950</v>
      </c>
      <c r="I90" s="9">
        <v>10300</v>
      </c>
      <c r="J90" s="9">
        <v>10410</v>
      </c>
      <c r="K90" s="9">
        <v>9930</v>
      </c>
      <c r="L90" s="9">
        <v>10090</v>
      </c>
      <c r="M90" s="9">
        <v>10020</v>
      </c>
      <c r="N90" s="9">
        <v>10100</v>
      </c>
      <c r="O90" s="9">
        <v>10640</v>
      </c>
      <c r="P90" s="9">
        <v>11260</v>
      </c>
      <c r="Q90" s="9">
        <v>11770</v>
      </c>
      <c r="R90" s="9">
        <v>12350</v>
      </c>
      <c r="S90" s="9">
        <v>13470</v>
      </c>
      <c r="T90" s="9">
        <v>14600</v>
      </c>
      <c r="U90" s="9">
        <v>14980</v>
      </c>
      <c r="V90" s="9">
        <v>13520</v>
      </c>
      <c r="W90" s="9">
        <v>15120</v>
      </c>
      <c r="X90" s="9">
        <v>16080</v>
      </c>
      <c r="Y90" s="9">
        <v>16960</v>
      </c>
      <c r="Z90" s="9">
        <v>20050</v>
      </c>
      <c r="AA90" s="9">
        <v>20160</v>
      </c>
      <c r="AB90" s="9">
        <v>19990</v>
      </c>
      <c r="AC90" s="9">
        <v>20590</v>
      </c>
      <c r="AD90" s="9">
        <v>20570</v>
      </c>
      <c r="AE90" s="9">
        <v>21180</v>
      </c>
      <c r="AF90" s="9">
        <v>21660</v>
      </c>
      <c r="AG90" s="9">
        <v>22600</v>
      </c>
      <c r="AH90" s="9">
        <v>23160</v>
      </c>
      <c r="AI90" s="9">
        <v>23920</v>
      </c>
      <c r="AJ90" s="9">
        <v>24660</v>
      </c>
      <c r="AK90" s="9">
        <v>25090</v>
      </c>
      <c r="AL90" s="9">
        <v>26350</v>
      </c>
      <c r="AM90" s="9">
        <v>26830</v>
      </c>
      <c r="AN90" s="9">
        <v>28170</v>
      </c>
      <c r="AO90" s="9">
        <v>28800</v>
      </c>
      <c r="AP90" s="9">
        <v>29060</v>
      </c>
      <c r="AQ90" s="9">
        <v>28530</v>
      </c>
      <c r="AR90" s="9">
        <v>27590</v>
      </c>
      <c r="AS90" s="9">
        <v>27470</v>
      </c>
      <c r="AT90" s="9">
        <v>28010</v>
      </c>
      <c r="AU90" s="9">
        <v>28320</v>
      </c>
      <c r="AV90" s="9">
        <v>28860</v>
      </c>
      <c r="AW90" s="9">
        <v>28910</v>
      </c>
      <c r="AX90" s="9">
        <v>29990</v>
      </c>
      <c r="AY90" s="9">
        <v>29520</v>
      </c>
      <c r="AZ90" s="9">
        <v>28620</v>
      </c>
      <c r="BA90" s="9">
        <v>27700</v>
      </c>
      <c r="BB90" s="9">
        <v>26680</v>
      </c>
      <c r="BC90" s="9">
        <v>25530</v>
      </c>
      <c r="BD90" s="9">
        <v>25580</v>
      </c>
      <c r="BE90" s="9">
        <v>25380</v>
      </c>
      <c r="BF90" s="9">
        <v>26230</v>
      </c>
      <c r="BG90" s="9">
        <v>26280</v>
      </c>
      <c r="BH90" s="9">
        <v>26450</v>
      </c>
      <c r="BI90" s="9">
        <v>27140</v>
      </c>
      <c r="BJ90" s="9">
        <v>27780</v>
      </c>
      <c r="BK90" s="9">
        <v>28100</v>
      </c>
      <c r="BL90" s="9">
        <v>28700</v>
      </c>
      <c r="BM90" s="9">
        <v>29050</v>
      </c>
      <c r="BN90" s="9">
        <v>29940</v>
      </c>
      <c r="BO90" s="9">
        <v>31430</v>
      </c>
    </row>
    <row r="91" spans="3:67" x14ac:dyDescent="0.2">
      <c r="C91" s="3">
        <v>81</v>
      </c>
      <c r="E91" s="9">
        <v>9610</v>
      </c>
      <c r="F91" s="9">
        <v>9450</v>
      </c>
      <c r="G91" s="9">
        <v>9380</v>
      </c>
      <c r="H91" s="9">
        <v>9540</v>
      </c>
      <c r="I91" s="9">
        <v>9510</v>
      </c>
      <c r="J91" s="9">
        <v>9820</v>
      </c>
      <c r="K91" s="9">
        <v>9960</v>
      </c>
      <c r="L91" s="9">
        <v>9520</v>
      </c>
      <c r="M91" s="9">
        <v>9690</v>
      </c>
      <c r="N91" s="9">
        <v>9690</v>
      </c>
      <c r="O91" s="9">
        <v>9770</v>
      </c>
      <c r="P91" s="9">
        <v>10280</v>
      </c>
      <c r="Q91" s="9">
        <v>10890</v>
      </c>
      <c r="R91" s="9">
        <v>11390</v>
      </c>
      <c r="S91" s="9">
        <v>11960</v>
      </c>
      <c r="T91" s="9">
        <v>13060</v>
      </c>
      <c r="U91" s="9">
        <v>14160</v>
      </c>
      <c r="V91" s="9">
        <v>14540</v>
      </c>
      <c r="W91" s="9">
        <v>13140</v>
      </c>
      <c r="X91" s="9">
        <v>14700</v>
      </c>
      <c r="Y91" s="9">
        <v>15640</v>
      </c>
      <c r="Z91" s="9">
        <v>16510</v>
      </c>
      <c r="AA91" s="9">
        <v>19520</v>
      </c>
      <c r="AB91" s="9">
        <v>19650</v>
      </c>
      <c r="AC91" s="9">
        <v>19490</v>
      </c>
      <c r="AD91" s="9">
        <v>20080</v>
      </c>
      <c r="AE91" s="9">
        <v>20080</v>
      </c>
      <c r="AF91" s="9">
        <v>20680</v>
      </c>
      <c r="AG91" s="9">
        <v>21160</v>
      </c>
      <c r="AH91" s="9">
        <v>22090</v>
      </c>
      <c r="AI91" s="9">
        <v>22650</v>
      </c>
      <c r="AJ91" s="9">
        <v>23400</v>
      </c>
      <c r="AK91" s="9">
        <v>24140</v>
      </c>
      <c r="AL91" s="9">
        <v>24580</v>
      </c>
      <c r="AM91" s="9">
        <v>25820</v>
      </c>
      <c r="AN91" s="9">
        <v>26300</v>
      </c>
      <c r="AO91" s="9">
        <v>27630</v>
      </c>
      <c r="AP91" s="9">
        <v>28260</v>
      </c>
      <c r="AQ91" s="9">
        <v>28520</v>
      </c>
      <c r="AR91" s="9">
        <v>28010</v>
      </c>
      <c r="AS91" s="9">
        <v>27110</v>
      </c>
      <c r="AT91" s="9">
        <v>27000</v>
      </c>
      <c r="AU91" s="9">
        <v>27540</v>
      </c>
      <c r="AV91" s="9">
        <v>27850</v>
      </c>
      <c r="AW91" s="9">
        <v>28390</v>
      </c>
      <c r="AX91" s="9">
        <v>28460</v>
      </c>
      <c r="AY91" s="9">
        <v>29530</v>
      </c>
      <c r="AZ91" s="9">
        <v>29070</v>
      </c>
      <c r="BA91" s="9">
        <v>28200</v>
      </c>
      <c r="BB91" s="9">
        <v>27300</v>
      </c>
      <c r="BC91" s="9">
        <v>26300</v>
      </c>
      <c r="BD91" s="9">
        <v>25180</v>
      </c>
      <c r="BE91" s="9">
        <v>25230</v>
      </c>
      <c r="BF91" s="9">
        <v>25050</v>
      </c>
      <c r="BG91" s="9">
        <v>25890</v>
      </c>
      <c r="BH91" s="9">
        <v>25950</v>
      </c>
      <c r="BI91" s="9">
        <v>26120</v>
      </c>
      <c r="BJ91" s="9">
        <v>26820</v>
      </c>
      <c r="BK91" s="9">
        <v>27460</v>
      </c>
      <c r="BL91" s="9">
        <v>27780</v>
      </c>
      <c r="BM91" s="9">
        <v>28380</v>
      </c>
      <c r="BN91" s="9">
        <v>28740</v>
      </c>
      <c r="BO91" s="9">
        <v>29620</v>
      </c>
    </row>
    <row r="92" spans="3:67" x14ac:dyDescent="0.2">
      <c r="C92" s="3">
        <v>82</v>
      </c>
      <c r="E92" s="9">
        <v>8770</v>
      </c>
      <c r="F92" s="9">
        <v>9110</v>
      </c>
      <c r="G92" s="9">
        <v>8970</v>
      </c>
      <c r="H92" s="9">
        <v>8930</v>
      </c>
      <c r="I92" s="9">
        <v>9080</v>
      </c>
      <c r="J92" s="9">
        <v>9040</v>
      </c>
      <c r="K92" s="9">
        <v>9340</v>
      </c>
      <c r="L92" s="9">
        <v>9530</v>
      </c>
      <c r="M92" s="9">
        <v>9100</v>
      </c>
      <c r="N92" s="9">
        <v>9320</v>
      </c>
      <c r="O92" s="9">
        <v>9320</v>
      </c>
      <c r="P92" s="9">
        <v>9390</v>
      </c>
      <c r="Q92" s="9">
        <v>9900</v>
      </c>
      <c r="R92" s="9">
        <v>10490</v>
      </c>
      <c r="S92" s="9">
        <v>10980</v>
      </c>
      <c r="T92" s="9">
        <v>11540</v>
      </c>
      <c r="U92" s="9">
        <v>12610</v>
      </c>
      <c r="V92" s="9">
        <v>13680</v>
      </c>
      <c r="W92" s="9">
        <v>14060</v>
      </c>
      <c r="X92" s="9">
        <v>12710</v>
      </c>
      <c r="Y92" s="9">
        <v>14230</v>
      </c>
      <c r="Z92" s="9">
        <v>15150</v>
      </c>
      <c r="AA92" s="9">
        <v>16000</v>
      </c>
      <c r="AB92" s="9">
        <v>18940</v>
      </c>
      <c r="AC92" s="9">
        <v>19070</v>
      </c>
      <c r="AD92" s="9">
        <v>18930</v>
      </c>
      <c r="AE92" s="9">
        <v>19520</v>
      </c>
      <c r="AF92" s="9">
        <v>19520</v>
      </c>
      <c r="AG92" s="9">
        <v>20120</v>
      </c>
      <c r="AH92" s="9">
        <v>20600</v>
      </c>
      <c r="AI92" s="9">
        <v>21520</v>
      </c>
      <c r="AJ92" s="9">
        <v>22080</v>
      </c>
      <c r="AK92" s="9">
        <v>22820</v>
      </c>
      <c r="AL92" s="9">
        <v>23550</v>
      </c>
      <c r="AM92" s="9">
        <v>23990</v>
      </c>
      <c r="AN92" s="9">
        <v>25220</v>
      </c>
      <c r="AO92" s="9">
        <v>25700</v>
      </c>
      <c r="AP92" s="9">
        <v>27010</v>
      </c>
      <c r="AQ92" s="9">
        <v>27630</v>
      </c>
      <c r="AR92" s="9">
        <v>27910</v>
      </c>
      <c r="AS92" s="9">
        <v>27420</v>
      </c>
      <c r="AT92" s="9">
        <v>26550</v>
      </c>
      <c r="AU92" s="9">
        <v>26460</v>
      </c>
      <c r="AV92" s="9">
        <v>26990</v>
      </c>
      <c r="AW92" s="9">
        <v>27310</v>
      </c>
      <c r="AX92" s="9">
        <v>27850</v>
      </c>
      <c r="AY92" s="9">
        <v>27930</v>
      </c>
      <c r="AZ92" s="9">
        <v>28990</v>
      </c>
      <c r="BA92" s="9">
        <v>28560</v>
      </c>
      <c r="BB92" s="9">
        <v>27710</v>
      </c>
      <c r="BC92" s="9">
        <v>26830</v>
      </c>
      <c r="BD92" s="9">
        <v>25860</v>
      </c>
      <c r="BE92" s="9">
        <v>24770</v>
      </c>
      <c r="BF92" s="9">
        <v>24830</v>
      </c>
      <c r="BG92" s="9">
        <v>24660</v>
      </c>
      <c r="BH92" s="9">
        <v>25490</v>
      </c>
      <c r="BI92" s="9">
        <v>25560</v>
      </c>
      <c r="BJ92" s="9">
        <v>25740</v>
      </c>
      <c r="BK92" s="9">
        <v>26430</v>
      </c>
      <c r="BL92" s="9">
        <v>27070</v>
      </c>
      <c r="BM92" s="9">
        <v>27390</v>
      </c>
      <c r="BN92" s="9">
        <v>28000</v>
      </c>
      <c r="BO92" s="9">
        <v>28350</v>
      </c>
    </row>
    <row r="93" spans="3:67" x14ac:dyDescent="0.2">
      <c r="C93" s="3">
        <v>83</v>
      </c>
      <c r="E93" s="9">
        <v>8030</v>
      </c>
      <c r="F93" s="9">
        <v>8270</v>
      </c>
      <c r="G93" s="9">
        <v>8570</v>
      </c>
      <c r="H93" s="9">
        <v>8440</v>
      </c>
      <c r="I93" s="9">
        <v>8400</v>
      </c>
      <c r="J93" s="9">
        <v>8590</v>
      </c>
      <c r="K93" s="9">
        <v>8550</v>
      </c>
      <c r="L93" s="9">
        <v>8820</v>
      </c>
      <c r="M93" s="9">
        <v>9080</v>
      </c>
      <c r="N93" s="9">
        <v>8690</v>
      </c>
      <c r="O93" s="9">
        <v>8910</v>
      </c>
      <c r="P93" s="9">
        <v>8900</v>
      </c>
      <c r="Q93" s="9">
        <v>8980</v>
      </c>
      <c r="R93" s="9">
        <v>9470</v>
      </c>
      <c r="S93" s="9">
        <v>10050</v>
      </c>
      <c r="T93" s="9">
        <v>10530</v>
      </c>
      <c r="U93" s="9">
        <v>11070</v>
      </c>
      <c r="V93" s="9">
        <v>12110</v>
      </c>
      <c r="W93" s="9">
        <v>13150</v>
      </c>
      <c r="X93" s="9">
        <v>13520</v>
      </c>
      <c r="Y93" s="9">
        <v>12230</v>
      </c>
      <c r="Z93" s="9">
        <v>13700</v>
      </c>
      <c r="AA93" s="9">
        <v>14600</v>
      </c>
      <c r="AB93" s="9">
        <v>15440</v>
      </c>
      <c r="AC93" s="9">
        <v>18280</v>
      </c>
      <c r="AD93" s="9">
        <v>18420</v>
      </c>
      <c r="AE93" s="9">
        <v>18300</v>
      </c>
      <c r="AF93" s="9">
        <v>18880</v>
      </c>
      <c r="AG93" s="9">
        <v>18900</v>
      </c>
      <c r="AH93" s="9">
        <v>19490</v>
      </c>
      <c r="AI93" s="9">
        <v>19960</v>
      </c>
      <c r="AJ93" s="9">
        <v>20860</v>
      </c>
      <c r="AK93" s="9">
        <v>21420</v>
      </c>
      <c r="AL93" s="9">
        <v>22160</v>
      </c>
      <c r="AM93" s="9">
        <v>22880</v>
      </c>
      <c r="AN93" s="9">
        <v>23320</v>
      </c>
      <c r="AO93" s="9">
        <v>24520</v>
      </c>
      <c r="AP93" s="9">
        <v>25010</v>
      </c>
      <c r="AQ93" s="9">
        <v>26300</v>
      </c>
      <c r="AR93" s="9">
        <v>26920</v>
      </c>
      <c r="AS93" s="9">
        <v>27200</v>
      </c>
      <c r="AT93" s="9">
        <v>26740</v>
      </c>
      <c r="AU93" s="9">
        <v>25900</v>
      </c>
      <c r="AV93" s="9">
        <v>25820</v>
      </c>
      <c r="AW93" s="9">
        <v>26360</v>
      </c>
      <c r="AX93" s="9">
        <v>26680</v>
      </c>
      <c r="AY93" s="9">
        <v>27220</v>
      </c>
      <c r="AZ93" s="9">
        <v>27310</v>
      </c>
      <c r="BA93" s="9">
        <v>28360</v>
      </c>
      <c r="BB93" s="9">
        <v>27950</v>
      </c>
      <c r="BC93" s="9">
        <v>27130</v>
      </c>
      <c r="BD93" s="9">
        <v>26280</v>
      </c>
      <c r="BE93" s="9">
        <v>25350</v>
      </c>
      <c r="BF93" s="9">
        <v>24280</v>
      </c>
      <c r="BG93" s="9">
        <v>24350</v>
      </c>
      <c r="BH93" s="9">
        <v>24190</v>
      </c>
      <c r="BI93" s="9">
        <v>25020</v>
      </c>
      <c r="BJ93" s="9">
        <v>25090</v>
      </c>
      <c r="BK93" s="9">
        <v>25280</v>
      </c>
      <c r="BL93" s="9">
        <v>25970</v>
      </c>
      <c r="BM93" s="9">
        <v>26600</v>
      </c>
      <c r="BN93" s="9">
        <v>26930</v>
      </c>
      <c r="BO93" s="9">
        <v>27540</v>
      </c>
    </row>
    <row r="94" spans="3:67" x14ac:dyDescent="0.2">
      <c r="C94" s="3">
        <v>84</v>
      </c>
      <c r="E94" s="9">
        <v>7700</v>
      </c>
      <c r="F94" s="9">
        <v>7490</v>
      </c>
      <c r="G94" s="9">
        <v>7730</v>
      </c>
      <c r="H94" s="9">
        <v>8040</v>
      </c>
      <c r="I94" s="9">
        <v>7890</v>
      </c>
      <c r="J94" s="9">
        <v>7870</v>
      </c>
      <c r="K94" s="9">
        <v>7980</v>
      </c>
      <c r="L94" s="9">
        <v>8060</v>
      </c>
      <c r="M94" s="9">
        <v>8360</v>
      </c>
      <c r="N94" s="9">
        <v>8610</v>
      </c>
      <c r="O94" s="9">
        <v>8240</v>
      </c>
      <c r="P94" s="9">
        <v>8450</v>
      </c>
      <c r="Q94" s="9">
        <v>8450</v>
      </c>
      <c r="R94" s="9">
        <v>8540</v>
      </c>
      <c r="S94" s="9">
        <v>9010</v>
      </c>
      <c r="T94" s="9">
        <v>9570</v>
      </c>
      <c r="U94" s="9">
        <v>10030</v>
      </c>
      <c r="V94" s="9">
        <v>10560</v>
      </c>
      <c r="W94" s="9">
        <v>11560</v>
      </c>
      <c r="X94" s="9">
        <v>12560</v>
      </c>
      <c r="Y94" s="9">
        <v>12930</v>
      </c>
      <c r="Z94" s="9">
        <v>11700</v>
      </c>
      <c r="AA94" s="9">
        <v>13120</v>
      </c>
      <c r="AB94" s="9">
        <v>14000</v>
      </c>
      <c r="AC94" s="9">
        <v>14800</v>
      </c>
      <c r="AD94" s="9">
        <v>17550</v>
      </c>
      <c r="AE94" s="9">
        <v>17690</v>
      </c>
      <c r="AF94" s="9">
        <v>17590</v>
      </c>
      <c r="AG94" s="9">
        <v>18160</v>
      </c>
      <c r="AH94" s="9">
        <v>18190</v>
      </c>
      <c r="AI94" s="9">
        <v>18780</v>
      </c>
      <c r="AJ94" s="9">
        <v>19240</v>
      </c>
      <c r="AK94" s="9">
        <v>20130</v>
      </c>
      <c r="AL94" s="9">
        <v>20680</v>
      </c>
      <c r="AM94" s="9">
        <v>21400</v>
      </c>
      <c r="AN94" s="9">
        <v>22110</v>
      </c>
      <c r="AO94" s="9">
        <v>22550</v>
      </c>
      <c r="AP94" s="9">
        <v>23730</v>
      </c>
      <c r="AQ94" s="9">
        <v>24210</v>
      </c>
      <c r="AR94" s="9">
        <v>25480</v>
      </c>
      <c r="AS94" s="9">
        <v>26090</v>
      </c>
      <c r="AT94" s="9">
        <v>26380</v>
      </c>
      <c r="AU94" s="9">
        <v>25950</v>
      </c>
      <c r="AV94" s="9">
        <v>25150</v>
      </c>
      <c r="AW94" s="9">
        <v>25090</v>
      </c>
      <c r="AX94" s="9">
        <v>25620</v>
      </c>
      <c r="AY94" s="9">
        <v>25950</v>
      </c>
      <c r="AZ94" s="9">
        <v>26490</v>
      </c>
      <c r="BA94" s="9">
        <v>26590</v>
      </c>
      <c r="BB94" s="9">
        <v>27630</v>
      </c>
      <c r="BC94" s="9">
        <v>27230</v>
      </c>
      <c r="BD94" s="9">
        <v>26450</v>
      </c>
      <c r="BE94" s="9">
        <v>25640</v>
      </c>
      <c r="BF94" s="9">
        <v>24730</v>
      </c>
      <c r="BG94" s="9">
        <v>23710</v>
      </c>
      <c r="BH94" s="9">
        <v>23780</v>
      </c>
      <c r="BI94" s="9">
        <v>23640</v>
      </c>
      <c r="BJ94" s="9">
        <v>24460</v>
      </c>
      <c r="BK94" s="9">
        <v>24540</v>
      </c>
      <c r="BL94" s="9">
        <v>24730</v>
      </c>
      <c r="BM94" s="9">
        <v>25420</v>
      </c>
      <c r="BN94" s="9">
        <v>26050</v>
      </c>
      <c r="BO94" s="9">
        <v>26380</v>
      </c>
    </row>
    <row r="95" spans="3:67" x14ac:dyDescent="0.2">
      <c r="C95" s="3">
        <v>85</v>
      </c>
      <c r="E95" s="9">
        <v>6940</v>
      </c>
      <c r="F95" s="9">
        <v>7130</v>
      </c>
      <c r="G95" s="9">
        <v>6960</v>
      </c>
      <c r="H95" s="9">
        <v>7160</v>
      </c>
      <c r="I95" s="9">
        <v>7480</v>
      </c>
      <c r="J95" s="9">
        <v>7290</v>
      </c>
      <c r="K95" s="9">
        <v>7350</v>
      </c>
      <c r="L95" s="9">
        <v>7380</v>
      </c>
      <c r="M95" s="9">
        <v>7530</v>
      </c>
      <c r="N95" s="9">
        <v>7850</v>
      </c>
      <c r="O95" s="9">
        <v>8090</v>
      </c>
      <c r="P95" s="9">
        <v>7750</v>
      </c>
      <c r="Q95" s="9">
        <v>7950</v>
      </c>
      <c r="R95" s="9">
        <v>7960</v>
      </c>
      <c r="S95" s="9">
        <v>8050</v>
      </c>
      <c r="T95" s="9">
        <v>8510</v>
      </c>
      <c r="U95" s="9">
        <v>9040</v>
      </c>
      <c r="V95" s="9">
        <v>9490</v>
      </c>
      <c r="W95" s="9">
        <v>10000</v>
      </c>
      <c r="X95" s="9">
        <v>10950</v>
      </c>
      <c r="Y95" s="9">
        <v>11910</v>
      </c>
      <c r="Z95" s="9">
        <v>12270</v>
      </c>
      <c r="AA95" s="9">
        <v>11120</v>
      </c>
      <c r="AB95" s="9">
        <v>12480</v>
      </c>
      <c r="AC95" s="9">
        <v>13320</v>
      </c>
      <c r="AD95" s="9">
        <v>14100</v>
      </c>
      <c r="AE95" s="9">
        <v>16730</v>
      </c>
      <c r="AF95" s="9">
        <v>16880</v>
      </c>
      <c r="AG95" s="9">
        <v>16790</v>
      </c>
      <c r="AH95" s="9">
        <v>17350</v>
      </c>
      <c r="AI95" s="9">
        <v>17390</v>
      </c>
      <c r="AJ95" s="9">
        <v>17970</v>
      </c>
      <c r="AK95" s="9">
        <v>18430</v>
      </c>
      <c r="AL95" s="9">
        <v>19290</v>
      </c>
      <c r="AM95" s="9">
        <v>19830</v>
      </c>
      <c r="AN95" s="9">
        <v>20540</v>
      </c>
      <c r="AO95" s="9">
        <v>21230</v>
      </c>
      <c r="AP95" s="9">
        <v>21670</v>
      </c>
      <c r="AQ95" s="9">
        <v>22820</v>
      </c>
      <c r="AR95" s="9">
        <v>23300</v>
      </c>
      <c r="AS95" s="9">
        <v>24530</v>
      </c>
      <c r="AT95" s="9">
        <v>25140</v>
      </c>
      <c r="AU95" s="9">
        <v>25440</v>
      </c>
      <c r="AV95" s="9">
        <v>25030</v>
      </c>
      <c r="AW95" s="9">
        <v>24270</v>
      </c>
      <c r="AX95" s="9">
        <v>24230</v>
      </c>
      <c r="AY95" s="9">
        <v>24760</v>
      </c>
      <c r="AZ95" s="9">
        <v>25090</v>
      </c>
      <c r="BA95" s="9">
        <v>25630</v>
      </c>
      <c r="BB95" s="9">
        <v>25740</v>
      </c>
      <c r="BC95" s="9">
        <v>26760</v>
      </c>
      <c r="BD95" s="9">
        <v>26390</v>
      </c>
      <c r="BE95" s="9">
        <v>25650</v>
      </c>
      <c r="BF95" s="9">
        <v>24870</v>
      </c>
      <c r="BG95" s="9">
        <v>24010</v>
      </c>
      <c r="BH95" s="9">
        <v>23020</v>
      </c>
      <c r="BI95" s="9">
        <v>23110</v>
      </c>
      <c r="BJ95" s="9">
        <v>22980</v>
      </c>
      <c r="BK95" s="9">
        <v>23790</v>
      </c>
      <c r="BL95" s="9">
        <v>23880</v>
      </c>
      <c r="BM95" s="9">
        <v>24080</v>
      </c>
      <c r="BN95" s="9">
        <v>24750</v>
      </c>
      <c r="BO95" s="9">
        <v>25380</v>
      </c>
    </row>
    <row r="96" spans="3:67" x14ac:dyDescent="0.2">
      <c r="C96" s="3">
        <v>86</v>
      </c>
      <c r="E96" s="9">
        <v>6240</v>
      </c>
      <c r="F96" s="9">
        <v>6390</v>
      </c>
      <c r="G96" s="9">
        <v>6540</v>
      </c>
      <c r="H96" s="9">
        <v>6380</v>
      </c>
      <c r="I96" s="9">
        <v>6560</v>
      </c>
      <c r="J96" s="9">
        <v>6900</v>
      </c>
      <c r="K96" s="9">
        <v>6650</v>
      </c>
      <c r="L96" s="9">
        <v>6750</v>
      </c>
      <c r="M96" s="9">
        <v>6850</v>
      </c>
      <c r="N96" s="9">
        <v>7000</v>
      </c>
      <c r="O96" s="9">
        <v>7310</v>
      </c>
      <c r="P96" s="9">
        <v>7530</v>
      </c>
      <c r="Q96" s="9">
        <v>7220</v>
      </c>
      <c r="R96" s="9">
        <v>7420</v>
      </c>
      <c r="S96" s="9">
        <v>7440</v>
      </c>
      <c r="T96" s="9">
        <v>7530</v>
      </c>
      <c r="U96" s="9">
        <v>7960</v>
      </c>
      <c r="V96" s="9">
        <v>8470</v>
      </c>
      <c r="W96" s="9">
        <v>8900</v>
      </c>
      <c r="X96" s="9">
        <v>9380</v>
      </c>
      <c r="Y96" s="9">
        <v>10290</v>
      </c>
      <c r="Z96" s="9">
        <v>11200</v>
      </c>
      <c r="AA96" s="9">
        <v>11550</v>
      </c>
      <c r="AB96" s="9">
        <v>10480</v>
      </c>
      <c r="AC96" s="9">
        <v>11770</v>
      </c>
      <c r="AD96" s="9">
        <v>12570</v>
      </c>
      <c r="AE96" s="9">
        <v>13320</v>
      </c>
      <c r="AF96" s="9">
        <v>15820</v>
      </c>
      <c r="AG96" s="9">
        <v>15970</v>
      </c>
      <c r="AH96" s="9">
        <v>15910</v>
      </c>
      <c r="AI96" s="9">
        <v>16450</v>
      </c>
      <c r="AJ96" s="9">
        <v>16500</v>
      </c>
      <c r="AK96" s="9">
        <v>17060</v>
      </c>
      <c r="AL96" s="9">
        <v>17510</v>
      </c>
      <c r="AM96" s="9">
        <v>18340</v>
      </c>
      <c r="AN96" s="9">
        <v>18870</v>
      </c>
      <c r="AO96" s="9">
        <v>19560</v>
      </c>
      <c r="AP96" s="9">
        <v>20240</v>
      </c>
      <c r="AQ96" s="9">
        <v>20670</v>
      </c>
      <c r="AR96" s="9">
        <v>21780</v>
      </c>
      <c r="AS96" s="9">
        <v>22260</v>
      </c>
      <c r="AT96" s="9">
        <v>23450</v>
      </c>
      <c r="AU96" s="9">
        <v>24050</v>
      </c>
      <c r="AV96" s="9">
        <v>24350</v>
      </c>
      <c r="AW96" s="9">
        <v>23980</v>
      </c>
      <c r="AX96" s="9">
        <v>23270</v>
      </c>
      <c r="AY96" s="9">
        <v>23240</v>
      </c>
      <c r="AZ96" s="9">
        <v>23760</v>
      </c>
      <c r="BA96" s="9">
        <v>24100</v>
      </c>
      <c r="BB96" s="9">
        <v>24630</v>
      </c>
      <c r="BC96" s="9">
        <v>24750</v>
      </c>
      <c r="BD96" s="9">
        <v>25740</v>
      </c>
      <c r="BE96" s="9">
        <v>25410</v>
      </c>
      <c r="BF96" s="9">
        <v>24700</v>
      </c>
      <c r="BG96" s="9">
        <v>23970</v>
      </c>
      <c r="BH96" s="9">
        <v>23150</v>
      </c>
      <c r="BI96" s="9">
        <v>22210</v>
      </c>
      <c r="BJ96" s="9">
        <v>22310</v>
      </c>
      <c r="BK96" s="9">
        <v>22190</v>
      </c>
      <c r="BL96" s="9">
        <v>22990</v>
      </c>
      <c r="BM96" s="9">
        <v>23080</v>
      </c>
      <c r="BN96" s="9">
        <v>23290</v>
      </c>
      <c r="BO96" s="9">
        <v>23960</v>
      </c>
    </row>
    <row r="97" spans="1:67" x14ac:dyDescent="0.2">
      <c r="C97" s="3">
        <v>87</v>
      </c>
      <c r="E97" s="9">
        <v>4700</v>
      </c>
      <c r="F97" s="9">
        <v>5630</v>
      </c>
      <c r="G97" s="9">
        <v>5730</v>
      </c>
      <c r="H97" s="9">
        <v>5900</v>
      </c>
      <c r="I97" s="9">
        <v>5790</v>
      </c>
      <c r="J97" s="9">
        <v>5930</v>
      </c>
      <c r="K97" s="9">
        <v>6250</v>
      </c>
      <c r="L97" s="9">
        <v>6040</v>
      </c>
      <c r="M97" s="9">
        <v>6220</v>
      </c>
      <c r="N97" s="9">
        <v>6290</v>
      </c>
      <c r="O97" s="9">
        <v>6440</v>
      </c>
      <c r="P97" s="9">
        <v>6730</v>
      </c>
      <c r="Q97" s="9">
        <v>6940</v>
      </c>
      <c r="R97" s="9">
        <v>6660</v>
      </c>
      <c r="S97" s="9">
        <v>6850</v>
      </c>
      <c r="T97" s="9">
        <v>6880</v>
      </c>
      <c r="U97" s="9">
        <v>6970</v>
      </c>
      <c r="V97" s="9">
        <v>7380</v>
      </c>
      <c r="W97" s="9">
        <v>7860</v>
      </c>
      <c r="X97" s="9">
        <v>8260</v>
      </c>
      <c r="Y97" s="9">
        <v>8720</v>
      </c>
      <c r="Z97" s="9">
        <v>9570</v>
      </c>
      <c r="AA97" s="9">
        <v>10430</v>
      </c>
      <c r="AB97" s="9">
        <v>10770</v>
      </c>
      <c r="AC97" s="9">
        <v>9780</v>
      </c>
      <c r="AD97" s="9">
        <v>10990</v>
      </c>
      <c r="AE97" s="9">
        <v>11760</v>
      </c>
      <c r="AF97" s="9">
        <v>12470</v>
      </c>
      <c r="AG97" s="9">
        <v>14810</v>
      </c>
      <c r="AH97" s="9">
        <v>14980</v>
      </c>
      <c r="AI97" s="9">
        <v>14930</v>
      </c>
      <c r="AJ97" s="9">
        <v>15450</v>
      </c>
      <c r="AK97" s="9">
        <v>15510</v>
      </c>
      <c r="AL97" s="9">
        <v>16050</v>
      </c>
      <c r="AM97" s="9">
        <v>16490</v>
      </c>
      <c r="AN97" s="9">
        <v>17290</v>
      </c>
      <c r="AO97" s="9">
        <v>17800</v>
      </c>
      <c r="AP97" s="9">
        <v>18460</v>
      </c>
      <c r="AQ97" s="9">
        <v>19120</v>
      </c>
      <c r="AR97" s="9">
        <v>19540</v>
      </c>
      <c r="AS97" s="9">
        <v>20610</v>
      </c>
      <c r="AT97" s="9">
        <v>21070</v>
      </c>
      <c r="AU97" s="9">
        <v>22220</v>
      </c>
      <c r="AV97" s="9">
        <v>22810</v>
      </c>
      <c r="AW97" s="9">
        <v>23100</v>
      </c>
      <c r="AX97" s="9">
        <v>22770</v>
      </c>
      <c r="AY97" s="9">
        <v>22110</v>
      </c>
      <c r="AZ97" s="9">
        <v>22100</v>
      </c>
      <c r="BA97" s="9">
        <v>22610</v>
      </c>
      <c r="BB97" s="9">
        <v>22950</v>
      </c>
      <c r="BC97" s="9">
        <v>23470</v>
      </c>
      <c r="BD97" s="9">
        <v>23600</v>
      </c>
      <c r="BE97" s="9">
        <v>24560</v>
      </c>
      <c r="BF97" s="9">
        <v>24260</v>
      </c>
      <c r="BG97" s="9">
        <v>23600</v>
      </c>
      <c r="BH97" s="9">
        <v>22910</v>
      </c>
      <c r="BI97" s="9">
        <v>22140</v>
      </c>
      <c r="BJ97" s="9">
        <v>21260</v>
      </c>
      <c r="BK97" s="9">
        <v>21360</v>
      </c>
      <c r="BL97" s="9">
        <v>21270</v>
      </c>
      <c r="BM97" s="9">
        <v>22040</v>
      </c>
      <c r="BN97" s="9">
        <v>22150</v>
      </c>
      <c r="BO97" s="9">
        <v>22360</v>
      </c>
    </row>
    <row r="98" spans="1:67" x14ac:dyDescent="0.2">
      <c r="C98" s="3">
        <v>88</v>
      </c>
      <c r="E98" s="9">
        <v>4260</v>
      </c>
      <c r="F98" s="9">
        <v>4210</v>
      </c>
      <c r="G98" s="9">
        <v>4990</v>
      </c>
      <c r="H98" s="9">
        <v>5140</v>
      </c>
      <c r="I98" s="9">
        <v>5280</v>
      </c>
      <c r="J98" s="9">
        <v>5170</v>
      </c>
      <c r="K98" s="9">
        <v>5280</v>
      </c>
      <c r="L98" s="9">
        <v>5610</v>
      </c>
      <c r="M98" s="9">
        <v>5470</v>
      </c>
      <c r="N98" s="9">
        <v>5650</v>
      </c>
      <c r="O98" s="9">
        <v>5720</v>
      </c>
      <c r="P98" s="9">
        <v>5850</v>
      </c>
      <c r="Q98" s="9">
        <v>6120</v>
      </c>
      <c r="R98" s="9">
        <v>6320</v>
      </c>
      <c r="S98" s="9">
        <v>6080</v>
      </c>
      <c r="T98" s="9">
        <v>6250</v>
      </c>
      <c r="U98" s="9">
        <v>6290</v>
      </c>
      <c r="V98" s="9">
        <v>6370</v>
      </c>
      <c r="W98" s="9">
        <v>6760</v>
      </c>
      <c r="X98" s="9">
        <v>7200</v>
      </c>
      <c r="Y98" s="9">
        <v>7580</v>
      </c>
      <c r="Z98" s="9">
        <v>8010</v>
      </c>
      <c r="AA98" s="9">
        <v>8810</v>
      </c>
      <c r="AB98" s="9">
        <v>9610</v>
      </c>
      <c r="AC98" s="9">
        <v>9930</v>
      </c>
      <c r="AD98" s="9">
        <v>9020</v>
      </c>
      <c r="AE98" s="9">
        <v>10150</v>
      </c>
      <c r="AF98" s="9">
        <v>10870</v>
      </c>
      <c r="AG98" s="9">
        <v>11540</v>
      </c>
      <c r="AH98" s="9">
        <v>13720</v>
      </c>
      <c r="AI98" s="9">
        <v>13890</v>
      </c>
      <c r="AJ98" s="9">
        <v>13850</v>
      </c>
      <c r="AK98" s="9">
        <v>14350</v>
      </c>
      <c r="AL98" s="9">
        <v>14420</v>
      </c>
      <c r="AM98" s="9">
        <v>14940</v>
      </c>
      <c r="AN98" s="9">
        <v>15360</v>
      </c>
      <c r="AO98" s="9">
        <v>16110</v>
      </c>
      <c r="AP98" s="9">
        <v>16610</v>
      </c>
      <c r="AQ98" s="9">
        <v>17240</v>
      </c>
      <c r="AR98" s="9">
        <v>17870</v>
      </c>
      <c r="AS98" s="9">
        <v>18280</v>
      </c>
      <c r="AT98" s="9">
        <v>19290</v>
      </c>
      <c r="AU98" s="9">
        <v>19750</v>
      </c>
      <c r="AV98" s="9">
        <v>20840</v>
      </c>
      <c r="AW98" s="9">
        <v>21400</v>
      </c>
      <c r="AX98" s="9">
        <v>21700</v>
      </c>
      <c r="AY98" s="9">
        <v>21400</v>
      </c>
      <c r="AZ98" s="9">
        <v>20800</v>
      </c>
      <c r="BA98" s="9">
        <v>20800</v>
      </c>
      <c r="BB98" s="9">
        <v>21300</v>
      </c>
      <c r="BC98" s="9">
        <v>21630</v>
      </c>
      <c r="BD98" s="9">
        <v>22140</v>
      </c>
      <c r="BE98" s="9">
        <v>22280</v>
      </c>
      <c r="BF98" s="9">
        <v>23210</v>
      </c>
      <c r="BG98" s="9">
        <v>22940</v>
      </c>
      <c r="BH98" s="9">
        <v>22330</v>
      </c>
      <c r="BI98" s="9">
        <v>21700</v>
      </c>
      <c r="BJ98" s="9">
        <v>20980</v>
      </c>
      <c r="BK98" s="9">
        <v>20160</v>
      </c>
      <c r="BL98" s="9">
        <v>20270</v>
      </c>
      <c r="BM98" s="9">
        <v>20190</v>
      </c>
      <c r="BN98" s="9">
        <v>20940</v>
      </c>
      <c r="BO98" s="9">
        <v>21050</v>
      </c>
    </row>
    <row r="99" spans="1:67" x14ac:dyDescent="0.2">
      <c r="C99" s="3">
        <v>89</v>
      </c>
      <c r="E99" s="9">
        <v>3770</v>
      </c>
      <c r="F99" s="9">
        <v>3750</v>
      </c>
      <c r="G99" s="9">
        <v>3720</v>
      </c>
      <c r="H99" s="9">
        <v>4400</v>
      </c>
      <c r="I99" s="9">
        <v>4520</v>
      </c>
      <c r="J99" s="9">
        <v>4660</v>
      </c>
      <c r="K99" s="9">
        <v>4540</v>
      </c>
      <c r="L99" s="9">
        <v>4660</v>
      </c>
      <c r="M99" s="9">
        <v>5000</v>
      </c>
      <c r="N99" s="9">
        <v>4900</v>
      </c>
      <c r="O99" s="9">
        <v>5060</v>
      </c>
      <c r="P99" s="9">
        <v>5120</v>
      </c>
      <c r="Q99" s="9">
        <v>5250</v>
      </c>
      <c r="R99" s="9">
        <v>5490</v>
      </c>
      <c r="S99" s="9">
        <v>5680</v>
      </c>
      <c r="T99" s="9">
        <v>5470</v>
      </c>
      <c r="U99" s="9">
        <v>5630</v>
      </c>
      <c r="V99" s="9">
        <v>5670</v>
      </c>
      <c r="W99" s="9">
        <v>5760</v>
      </c>
      <c r="X99" s="9">
        <v>6110</v>
      </c>
      <c r="Y99" s="9">
        <v>6520</v>
      </c>
      <c r="Z99" s="9">
        <v>6870</v>
      </c>
      <c r="AA99" s="9">
        <v>7270</v>
      </c>
      <c r="AB99" s="9">
        <v>7990</v>
      </c>
      <c r="AC99" s="9">
        <v>8730</v>
      </c>
      <c r="AD99" s="9">
        <v>9030</v>
      </c>
      <c r="AE99" s="9">
        <v>8220</v>
      </c>
      <c r="AF99" s="9">
        <v>9260</v>
      </c>
      <c r="AG99" s="9">
        <v>9920</v>
      </c>
      <c r="AH99" s="9">
        <v>10540</v>
      </c>
      <c r="AI99" s="9">
        <v>12550</v>
      </c>
      <c r="AJ99" s="9">
        <v>12710</v>
      </c>
      <c r="AK99" s="9">
        <v>12690</v>
      </c>
      <c r="AL99" s="9">
        <v>13160</v>
      </c>
      <c r="AM99" s="9">
        <v>13240</v>
      </c>
      <c r="AN99" s="9">
        <v>13730</v>
      </c>
      <c r="AO99" s="9">
        <v>14130</v>
      </c>
      <c r="AP99" s="9">
        <v>14840</v>
      </c>
      <c r="AQ99" s="9">
        <v>15300</v>
      </c>
      <c r="AR99" s="9">
        <v>15900</v>
      </c>
      <c r="AS99" s="9">
        <v>16500</v>
      </c>
      <c r="AT99" s="9">
        <v>16890</v>
      </c>
      <c r="AU99" s="9">
        <v>17840</v>
      </c>
      <c r="AV99" s="9">
        <v>18280</v>
      </c>
      <c r="AW99" s="9">
        <v>19300</v>
      </c>
      <c r="AX99" s="9">
        <v>19840</v>
      </c>
      <c r="AY99" s="9">
        <v>20140</v>
      </c>
      <c r="AZ99" s="9">
        <v>19880</v>
      </c>
      <c r="BA99" s="9">
        <v>19330</v>
      </c>
      <c r="BB99" s="9">
        <v>19350</v>
      </c>
      <c r="BC99" s="9">
        <v>19830</v>
      </c>
      <c r="BD99" s="9">
        <v>20160</v>
      </c>
      <c r="BE99" s="9">
        <v>20640</v>
      </c>
      <c r="BF99" s="9">
        <v>20790</v>
      </c>
      <c r="BG99" s="9">
        <v>21670</v>
      </c>
      <c r="BH99" s="9">
        <v>21430</v>
      </c>
      <c r="BI99" s="9">
        <v>20880</v>
      </c>
      <c r="BJ99" s="9">
        <v>20310</v>
      </c>
      <c r="BK99" s="9">
        <v>19650</v>
      </c>
      <c r="BL99" s="9">
        <v>18890</v>
      </c>
      <c r="BM99" s="9">
        <v>19010</v>
      </c>
      <c r="BN99" s="9">
        <v>18950</v>
      </c>
      <c r="BO99" s="9">
        <v>19670</v>
      </c>
    </row>
    <row r="100" spans="1:67" x14ac:dyDescent="0.2">
      <c r="A100" s="3" t="s">
        <v>1136</v>
      </c>
      <c r="C100" s="3">
        <v>90</v>
      </c>
      <c r="E100" s="9">
        <v>14040</v>
      </c>
      <c r="F100" s="9">
        <v>14320</v>
      </c>
      <c r="G100" s="9">
        <v>14710</v>
      </c>
      <c r="H100" s="9">
        <v>14850</v>
      </c>
      <c r="I100" s="9">
        <v>15750</v>
      </c>
      <c r="J100" s="9">
        <v>16430</v>
      </c>
      <c r="K100" s="9">
        <v>17040</v>
      </c>
      <c r="L100" s="9">
        <v>17440</v>
      </c>
      <c r="M100" s="9">
        <v>4060</v>
      </c>
      <c r="N100" s="9">
        <v>4400</v>
      </c>
      <c r="O100" s="9">
        <v>4310</v>
      </c>
      <c r="P100" s="9">
        <v>4460</v>
      </c>
      <c r="Q100" s="9">
        <v>4520</v>
      </c>
      <c r="R100" s="9">
        <v>4640</v>
      </c>
      <c r="S100" s="9">
        <v>4860</v>
      </c>
      <c r="T100" s="9">
        <v>5030</v>
      </c>
      <c r="U100" s="9">
        <v>4850</v>
      </c>
      <c r="V100" s="9">
        <v>5000</v>
      </c>
      <c r="W100" s="9">
        <v>5040</v>
      </c>
      <c r="X100" s="9">
        <v>5120</v>
      </c>
      <c r="Y100" s="9">
        <v>5440</v>
      </c>
      <c r="Z100" s="9">
        <v>5810</v>
      </c>
      <c r="AA100" s="9">
        <v>6130</v>
      </c>
      <c r="AB100" s="9">
        <v>6500</v>
      </c>
      <c r="AC100" s="9">
        <v>7150</v>
      </c>
      <c r="AD100" s="9">
        <v>7820</v>
      </c>
      <c r="AE100" s="9">
        <v>8100</v>
      </c>
      <c r="AF100" s="9">
        <v>7380</v>
      </c>
      <c r="AG100" s="9">
        <v>8320</v>
      </c>
      <c r="AH100" s="9">
        <v>8920</v>
      </c>
      <c r="AI100" s="9">
        <v>9490</v>
      </c>
      <c r="AJ100" s="9">
        <v>11310</v>
      </c>
      <c r="AK100" s="9">
        <v>11470</v>
      </c>
      <c r="AL100" s="9">
        <v>11460</v>
      </c>
      <c r="AM100" s="9">
        <v>11900</v>
      </c>
      <c r="AN100" s="9">
        <v>11980</v>
      </c>
      <c r="AO100" s="9">
        <v>12430</v>
      </c>
      <c r="AP100" s="9">
        <v>12810</v>
      </c>
      <c r="AQ100" s="9">
        <v>13470</v>
      </c>
      <c r="AR100" s="9">
        <v>13900</v>
      </c>
      <c r="AS100" s="9">
        <v>14460</v>
      </c>
      <c r="AT100" s="9">
        <v>15010</v>
      </c>
      <c r="AU100" s="9">
        <v>15390</v>
      </c>
      <c r="AV100" s="9">
        <v>16270</v>
      </c>
      <c r="AW100" s="9">
        <v>16680</v>
      </c>
      <c r="AX100" s="9">
        <v>17630</v>
      </c>
      <c r="AY100" s="9">
        <v>18140</v>
      </c>
      <c r="AZ100" s="9">
        <v>18430</v>
      </c>
      <c r="BA100" s="9">
        <v>18210</v>
      </c>
      <c r="BB100" s="9">
        <v>17720</v>
      </c>
      <c r="BC100" s="9">
        <v>17760</v>
      </c>
      <c r="BD100" s="9">
        <v>18210</v>
      </c>
      <c r="BE100" s="9">
        <v>18520</v>
      </c>
      <c r="BF100" s="9">
        <v>18990</v>
      </c>
      <c r="BG100" s="9">
        <v>19140</v>
      </c>
      <c r="BH100" s="9">
        <v>19970</v>
      </c>
      <c r="BI100" s="9">
        <v>19760</v>
      </c>
      <c r="BJ100" s="9">
        <v>19270</v>
      </c>
      <c r="BK100" s="9">
        <v>18750</v>
      </c>
      <c r="BL100" s="9">
        <v>18160</v>
      </c>
      <c r="BM100" s="9">
        <v>17480</v>
      </c>
      <c r="BN100" s="9">
        <v>17600</v>
      </c>
      <c r="BO100" s="9">
        <v>17560</v>
      </c>
    </row>
    <row r="101" spans="1:67" x14ac:dyDescent="0.2">
      <c r="C101" s="3">
        <v>91</v>
      </c>
      <c r="E101" s="9"/>
      <c r="F101" s="9"/>
      <c r="G101" s="9"/>
      <c r="H101" s="9"/>
      <c r="I101" s="9"/>
      <c r="J101" s="9"/>
      <c r="K101" s="9"/>
      <c r="L101" s="9"/>
      <c r="M101" s="9">
        <v>3360</v>
      </c>
      <c r="N101" s="9">
        <v>3510</v>
      </c>
      <c r="O101" s="9">
        <v>3810</v>
      </c>
      <c r="P101" s="9">
        <v>3730</v>
      </c>
      <c r="Q101" s="9">
        <v>3860</v>
      </c>
      <c r="R101" s="9">
        <v>3920</v>
      </c>
      <c r="S101" s="9">
        <v>4030</v>
      </c>
      <c r="T101" s="9">
        <v>4230</v>
      </c>
      <c r="U101" s="9">
        <v>4380</v>
      </c>
      <c r="V101" s="9">
        <v>4230</v>
      </c>
      <c r="W101" s="9">
        <v>4370</v>
      </c>
      <c r="X101" s="9">
        <v>4400</v>
      </c>
      <c r="Y101" s="9">
        <v>4480</v>
      </c>
      <c r="Z101" s="9">
        <v>4770</v>
      </c>
      <c r="AA101" s="9">
        <v>5100</v>
      </c>
      <c r="AB101" s="9">
        <v>5390</v>
      </c>
      <c r="AC101" s="9">
        <v>5710</v>
      </c>
      <c r="AD101" s="9">
        <v>6300</v>
      </c>
      <c r="AE101" s="9">
        <v>6890</v>
      </c>
      <c r="AF101" s="9">
        <v>7140</v>
      </c>
      <c r="AG101" s="9">
        <v>6510</v>
      </c>
      <c r="AH101" s="9">
        <v>7350</v>
      </c>
      <c r="AI101" s="9">
        <v>7900</v>
      </c>
      <c r="AJ101" s="9">
        <v>8410</v>
      </c>
      <c r="AK101" s="9">
        <v>10030</v>
      </c>
      <c r="AL101" s="9">
        <v>10180</v>
      </c>
      <c r="AM101" s="9">
        <v>10190</v>
      </c>
      <c r="AN101" s="9">
        <v>10590</v>
      </c>
      <c r="AO101" s="9">
        <v>10670</v>
      </c>
      <c r="AP101" s="9">
        <v>11080</v>
      </c>
      <c r="AQ101" s="9">
        <v>11430</v>
      </c>
      <c r="AR101" s="9">
        <v>12030</v>
      </c>
      <c r="AS101" s="9">
        <v>12430</v>
      </c>
      <c r="AT101" s="9">
        <v>12940</v>
      </c>
      <c r="AU101" s="9">
        <v>13450</v>
      </c>
      <c r="AV101" s="9">
        <v>13800</v>
      </c>
      <c r="AW101" s="9">
        <v>14600</v>
      </c>
      <c r="AX101" s="9">
        <v>14990</v>
      </c>
      <c r="AY101" s="9">
        <v>15850</v>
      </c>
      <c r="AZ101" s="9">
        <v>16330</v>
      </c>
      <c r="BA101" s="9">
        <v>16600</v>
      </c>
      <c r="BB101" s="9">
        <v>16410</v>
      </c>
      <c r="BC101" s="9">
        <v>15990</v>
      </c>
      <c r="BD101" s="9">
        <v>16040</v>
      </c>
      <c r="BE101" s="9">
        <v>16460</v>
      </c>
      <c r="BF101" s="9">
        <v>16760</v>
      </c>
      <c r="BG101" s="9">
        <v>17200</v>
      </c>
      <c r="BH101" s="9">
        <v>17350</v>
      </c>
      <c r="BI101" s="9">
        <v>18110</v>
      </c>
      <c r="BJ101" s="9">
        <v>17940</v>
      </c>
      <c r="BK101" s="9">
        <v>17510</v>
      </c>
      <c r="BL101" s="9">
        <v>17050</v>
      </c>
      <c r="BM101" s="9">
        <v>16530</v>
      </c>
      <c r="BN101" s="9">
        <v>15920</v>
      </c>
      <c r="BO101" s="9">
        <v>16040</v>
      </c>
    </row>
    <row r="102" spans="1:67" x14ac:dyDescent="0.2">
      <c r="C102" s="3">
        <v>92</v>
      </c>
      <c r="E102" s="9"/>
      <c r="F102" s="9"/>
      <c r="G102" s="9"/>
      <c r="H102" s="9"/>
      <c r="I102" s="9"/>
      <c r="J102" s="9"/>
      <c r="K102" s="9"/>
      <c r="L102" s="9"/>
      <c r="M102" s="9">
        <v>2890</v>
      </c>
      <c r="N102" s="9">
        <v>2850</v>
      </c>
      <c r="O102" s="9">
        <v>2980</v>
      </c>
      <c r="P102" s="9">
        <v>3240</v>
      </c>
      <c r="Q102" s="9">
        <v>3180</v>
      </c>
      <c r="R102" s="9">
        <v>3290</v>
      </c>
      <c r="S102" s="9">
        <v>3340</v>
      </c>
      <c r="T102" s="9">
        <v>3440</v>
      </c>
      <c r="U102" s="9">
        <v>3610</v>
      </c>
      <c r="V102" s="9">
        <v>3750</v>
      </c>
      <c r="W102" s="9">
        <v>3620</v>
      </c>
      <c r="X102" s="9">
        <v>3750</v>
      </c>
      <c r="Y102" s="9">
        <v>3780</v>
      </c>
      <c r="Z102" s="9">
        <v>3850</v>
      </c>
      <c r="AA102" s="9">
        <v>4100</v>
      </c>
      <c r="AB102" s="9">
        <v>4390</v>
      </c>
      <c r="AC102" s="9">
        <v>4650</v>
      </c>
      <c r="AD102" s="9">
        <v>4930</v>
      </c>
      <c r="AE102" s="9">
        <v>5440</v>
      </c>
      <c r="AF102" s="9">
        <v>5960</v>
      </c>
      <c r="AG102" s="9">
        <v>6190</v>
      </c>
      <c r="AH102" s="9">
        <v>5650</v>
      </c>
      <c r="AI102" s="9">
        <v>6390</v>
      </c>
      <c r="AJ102" s="9">
        <v>6860</v>
      </c>
      <c r="AK102" s="9">
        <v>7320</v>
      </c>
      <c r="AL102" s="9">
        <v>8740</v>
      </c>
      <c r="AM102" s="9">
        <v>8880</v>
      </c>
      <c r="AN102" s="9">
        <v>8890</v>
      </c>
      <c r="AO102" s="9">
        <v>9250</v>
      </c>
      <c r="AP102" s="9">
        <v>9330</v>
      </c>
      <c r="AQ102" s="9">
        <v>9710</v>
      </c>
      <c r="AR102" s="9">
        <v>10020</v>
      </c>
      <c r="AS102" s="9">
        <v>10550</v>
      </c>
      <c r="AT102" s="9">
        <v>10920</v>
      </c>
      <c r="AU102" s="9">
        <v>11380</v>
      </c>
      <c r="AV102" s="9">
        <v>11840</v>
      </c>
      <c r="AW102" s="9">
        <v>12150</v>
      </c>
      <c r="AX102" s="9">
        <v>12880</v>
      </c>
      <c r="AY102" s="9">
        <v>13230</v>
      </c>
      <c r="AZ102" s="9">
        <v>14010</v>
      </c>
      <c r="BA102" s="9">
        <v>14440</v>
      </c>
      <c r="BB102" s="9">
        <v>14690</v>
      </c>
      <c r="BC102" s="9">
        <v>14540</v>
      </c>
      <c r="BD102" s="9">
        <v>14180</v>
      </c>
      <c r="BE102" s="9">
        <v>14230</v>
      </c>
      <c r="BF102" s="9">
        <v>14630</v>
      </c>
      <c r="BG102" s="9">
        <v>14900</v>
      </c>
      <c r="BH102" s="9">
        <v>15300</v>
      </c>
      <c r="BI102" s="9">
        <v>15450</v>
      </c>
      <c r="BJ102" s="9">
        <v>16150</v>
      </c>
      <c r="BK102" s="9">
        <v>16010</v>
      </c>
      <c r="BL102" s="9">
        <v>15640</v>
      </c>
      <c r="BM102" s="9">
        <v>15240</v>
      </c>
      <c r="BN102" s="9">
        <v>14790</v>
      </c>
      <c r="BO102" s="9">
        <v>14250</v>
      </c>
    </row>
    <row r="103" spans="1:67" x14ac:dyDescent="0.2">
      <c r="C103" s="3">
        <v>93</v>
      </c>
      <c r="E103" s="9"/>
      <c r="F103" s="9"/>
      <c r="G103" s="9"/>
      <c r="H103" s="9"/>
      <c r="I103" s="9"/>
      <c r="J103" s="9"/>
      <c r="K103" s="9"/>
      <c r="L103" s="9"/>
      <c r="M103" s="9">
        <v>2260</v>
      </c>
      <c r="N103" s="9">
        <v>2400</v>
      </c>
      <c r="O103" s="9">
        <v>2370</v>
      </c>
      <c r="P103" s="9">
        <v>2480</v>
      </c>
      <c r="Q103" s="9">
        <v>2700</v>
      </c>
      <c r="R103" s="9">
        <v>2650</v>
      </c>
      <c r="S103" s="9">
        <v>2750</v>
      </c>
      <c r="T103" s="9">
        <v>2790</v>
      </c>
      <c r="U103" s="9">
        <v>2880</v>
      </c>
      <c r="V103" s="9">
        <v>3030</v>
      </c>
      <c r="W103" s="9">
        <v>3150</v>
      </c>
      <c r="X103" s="9">
        <v>3040</v>
      </c>
      <c r="Y103" s="9">
        <v>3150</v>
      </c>
      <c r="Z103" s="9">
        <v>3180</v>
      </c>
      <c r="AA103" s="9">
        <v>3250</v>
      </c>
      <c r="AB103" s="9">
        <v>3460</v>
      </c>
      <c r="AC103" s="9">
        <v>3710</v>
      </c>
      <c r="AD103" s="9">
        <v>3930</v>
      </c>
      <c r="AE103" s="9">
        <v>4180</v>
      </c>
      <c r="AF103" s="9">
        <v>4610</v>
      </c>
      <c r="AG103" s="9">
        <v>5060</v>
      </c>
      <c r="AH103" s="9">
        <v>5260</v>
      </c>
      <c r="AI103" s="9">
        <v>4810</v>
      </c>
      <c r="AJ103" s="9">
        <v>5440</v>
      </c>
      <c r="AK103" s="9">
        <v>5850</v>
      </c>
      <c r="AL103" s="9">
        <v>6240</v>
      </c>
      <c r="AM103" s="9">
        <v>7460</v>
      </c>
      <c r="AN103" s="9">
        <v>7590</v>
      </c>
      <c r="AO103" s="9">
        <v>7610</v>
      </c>
      <c r="AP103" s="9">
        <v>7930</v>
      </c>
      <c r="AQ103" s="9">
        <v>8010</v>
      </c>
      <c r="AR103" s="9">
        <v>8330</v>
      </c>
      <c r="AS103" s="9">
        <v>8610</v>
      </c>
      <c r="AT103" s="9">
        <v>9080</v>
      </c>
      <c r="AU103" s="9">
        <v>9400</v>
      </c>
      <c r="AV103" s="9">
        <v>9810</v>
      </c>
      <c r="AW103" s="9">
        <v>10210</v>
      </c>
      <c r="AX103" s="9">
        <v>10500</v>
      </c>
      <c r="AY103" s="9">
        <v>11130</v>
      </c>
      <c r="AZ103" s="9">
        <v>11450</v>
      </c>
      <c r="BA103" s="9">
        <v>12140</v>
      </c>
      <c r="BB103" s="9">
        <v>12520</v>
      </c>
      <c r="BC103" s="9">
        <v>12750</v>
      </c>
      <c r="BD103" s="9">
        <v>12640</v>
      </c>
      <c r="BE103" s="9">
        <v>12330</v>
      </c>
      <c r="BF103" s="9">
        <v>12390</v>
      </c>
      <c r="BG103" s="9">
        <v>12750</v>
      </c>
      <c r="BH103" s="9">
        <v>13000</v>
      </c>
      <c r="BI103" s="9">
        <v>13360</v>
      </c>
      <c r="BJ103" s="9">
        <v>13500</v>
      </c>
      <c r="BK103" s="9">
        <v>14120</v>
      </c>
      <c r="BL103" s="9">
        <v>14020</v>
      </c>
      <c r="BM103" s="9">
        <v>13700</v>
      </c>
      <c r="BN103" s="9">
        <v>13370</v>
      </c>
      <c r="BO103" s="9">
        <v>12980</v>
      </c>
    </row>
    <row r="104" spans="1:67" x14ac:dyDescent="0.2">
      <c r="C104" s="3">
        <v>94</v>
      </c>
      <c r="E104" s="9"/>
      <c r="F104" s="9"/>
      <c r="G104" s="9"/>
      <c r="H104" s="9"/>
      <c r="I104" s="9"/>
      <c r="J104" s="9"/>
      <c r="K104" s="9"/>
      <c r="L104" s="9"/>
      <c r="M104" s="9">
        <v>1730</v>
      </c>
      <c r="N104" s="9">
        <v>1830</v>
      </c>
      <c r="O104" s="9">
        <v>1950</v>
      </c>
      <c r="P104" s="9">
        <v>1930</v>
      </c>
      <c r="Q104" s="9">
        <v>2020</v>
      </c>
      <c r="R104" s="9">
        <v>2200</v>
      </c>
      <c r="S104" s="9">
        <v>2160</v>
      </c>
      <c r="T104" s="9">
        <v>2250</v>
      </c>
      <c r="U104" s="9">
        <v>2290</v>
      </c>
      <c r="V104" s="9">
        <v>2360</v>
      </c>
      <c r="W104" s="9">
        <v>2480</v>
      </c>
      <c r="X104" s="9">
        <v>2580</v>
      </c>
      <c r="Y104" s="9">
        <v>2500</v>
      </c>
      <c r="Z104" s="9">
        <v>2590</v>
      </c>
      <c r="AA104" s="9">
        <v>2620</v>
      </c>
      <c r="AB104" s="9">
        <v>2680</v>
      </c>
      <c r="AC104" s="9">
        <v>2860</v>
      </c>
      <c r="AD104" s="9">
        <v>3070</v>
      </c>
      <c r="AE104" s="9">
        <v>3250</v>
      </c>
      <c r="AF104" s="9">
        <v>3460</v>
      </c>
      <c r="AG104" s="9">
        <v>3830</v>
      </c>
      <c r="AH104" s="9">
        <v>4210</v>
      </c>
      <c r="AI104" s="9">
        <v>4370</v>
      </c>
      <c r="AJ104" s="9">
        <v>4000</v>
      </c>
      <c r="AK104" s="9">
        <v>4530</v>
      </c>
      <c r="AL104" s="9">
        <v>4880</v>
      </c>
      <c r="AM104" s="9">
        <v>5220</v>
      </c>
      <c r="AN104" s="9">
        <v>6240</v>
      </c>
      <c r="AO104" s="9">
        <v>6360</v>
      </c>
      <c r="AP104" s="9">
        <v>6380</v>
      </c>
      <c r="AQ104" s="9">
        <v>6650</v>
      </c>
      <c r="AR104" s="9">
        <v>6720</v>
      </c>
      <c r="AS104" s="9">
        <v>7010</v>
      </c>
      <c r="AT104" s="9">
        <v>7250</v>
      </c>
      <c r="AU104" s="9">
        <v>7650</v>
      </c>
      <c r="AV104" s="9">
        <v>7930</v>
      </c>
      <c r="AW104" s="9">
        <v>8280</v>
      </c>
      <c r="AX104" s="9">
        <v>8630</v>
      </c>
      <c r="AY104" s="9">
        <v>8880</v>
      </c>
      <c r="AZ104" s="9">
        <v>9430</v>
      </c>
      <c r="BA104" s="9">
        <v>9700</v>
      </c>
      <c r="BB104" s="9">
        <v>10300</v>
      </c>
      <c r="BC104" s="9">
        <v>10630</v>
      </c>
      <c r="BD104" s="9">
        <v>10840</v>
      </c>
      <c r="BE104" s="9">
        <v>10750</v>
      </c>
      <c r="BF104" s="9">
        <v>10500</v>
      </c>
      <c r="BG104" s="9">
        <v>10560</v>
      </c>
      <c r="BH104" s="9">
        <v>10880</v>
      </c>
      <c r="BI104" s="9">
        <v>11100</v>
      </c>
      <c r="BJ104" s="9">
        <v>11420</v>
      </c>
      <c r="BK104" s="9">
        <v>11550</v>
      </c>
      <c r="BL104" s="9">
        <v>12100</v>
      </c>
      <c r="BM104" s="9">
        <v>12020</v>
      </c>
      <c r="BN104" s="9">
        <v>11760</v>
      </c>
      <c r="BO104" s="9">
        <v>11480</v>
      </c>
    </row>
    <row r="105" spans="1:67" x14ac:dyDescent="0.2">
      <c r="C105" s="3" t="s">
        <v>1137</v>
      </c>
      <c r="E105" s="9"/>
      <c r="F105" s="9"/>
      <c r="G105" s="9"/>
      <c r="H105" s="9"/>
      <c r="I105" s="9"/>
      <c r="J105" s="9"/>
      <c r="K105" s="9"/>
      <c r="L105" s="9"/>
      <c r="M105" s="9">
        <v>3900</v>
      </c>
      <c r="N105" s="9">
        <v>4200</v>
      </c>
      <c r="O105" s="9">
        <v>4500</v>
      </c>
      <c r="P105" s="9">
        <v>4900</v>
      </c>
      <c r="Q105" s="9">
        <v>5100</v>
      </c>
      <c r="R105" s="9">
        <v>5400</v>
      </c>
      <c r="S105" s="9">
        <v>5700</v>
      </c>
      <c r="T105" s="9">
        <v>5900</v>
      </c>
      <c r="U105" s="9">
        <v>6200</v>
      </c>
      <c r="V105" s="9">
        <v>6400</v>
      </c>
      <c r="W105" s="9">
        <v>6600</v>
      </c>
      <c r="X105" s="9">
        <v>6900</v>
      </c>
      <c r="Y105" s="9">
        <v>7100</v>
      </c>
      <c r="Z105" s="9">
        <v>7300</v>
      </c>
      <c r="AA105" s="9">
        <v>7500</v>
      </c>
      <c r="AB105" s="9">
        <v>7700</v>
      </c>
      <c r="AC105" s="9">
        <v>7800</v>
      </c>
      <c r="AD105" s="9">
        <v>8100</v>
      </c>
      <c r="AE105" s="9">
        <v>8500</v>
      </c>
      <c r="AF105" s="9">
        <v>9000</v>
      </c>
      <c r="AG105" s="9">
        <v>9500</v>
      </c>
      <c r="AH105" s="9">
        <v>10200</v>
      </c>
      <c r="AI105" s="9">
        <v>11000</v>
      </c>
      <c r="AJ105" s="9">
        <v>11800</v>
      </c>
      <c r="AK105" s="9">
        <v>12200</v>
      </c>
      <c r="AL105" s="9">
        <v>12800</v>
      </c>
      <c r="AM105" s="9">
        <v>13600</v>
      </c>
      <c r="AN105" s="9">
        <v>14500</v>
      </c>
      <c r="AO105" s="9">
        <v>16000</v>
      </c>
      <c r="AP105" s="9">
        <v>17300</v>
      </c>
      <c r="AQ105" s="9">
        <v>18300</v>
      </c>
      <c r="AR105" s="9">
        <v>19300</v>
      </c>
      <c r="AS105" s="9">
        <v>20100</v>
      </c>
      <c r="AT105" s="9">
        <v>20900</v>
      </c>
      <c r="AU105" s="9">
        <v>21800</v>
      </c>
      <c r="AV105" s="9">
        <v>22800</v>
      </c>
      <c r="AW105" s="9">
        <v>23700</v>
      </c>
      <c r="AX105" s="9">
        <v>24800</v>
      </c>
      <c r="AY105" s="9">
        <v>25900</v>
      </c>
      <c r="AZ105" s="9">
        <v>27000</v>
      </c>
      <c r="BA105" s="9">
        <v>28300</v>
      </c>
      <c r="BB105" s="9">
        <v>29600</v>
      </c>
      <c r="BC105" s="9">
        <v>31000</v>
      </c>
      <c r="BD105" s="9">
        <v>32500</v>
      </c>
      <c r="BE105" s="9">
        <v>33800</v>
      </c>
      <c r="BF105" s="9">
        <v>34700</v>
      </c>
      <c r="BG105" s="9">
        <v>35200</v>
      </c>
      <c r="BH105" s="9">
        <v>35600</v>
      </c>
      <c r="BI105" s="9">
        <v>36200</v>
      </c>
      <c r="BJ105" s="9">
        <v>36900</v>
      </c>
      <c r="BK105" s="9">
        <v>37700</v>
      </c>
      <c r="BL105" s="9">
        <v>38500</v>
      </c>
      <c r="BM105" s="9">
        <v>39600</v>
      </c>
      <c r="BN105" s="9">
        <v>40400</v>
      </c>
      <c r="BO105" s="9">
        <v>40800</v>
      </c>
    </row>
    <row r="106" spans="1:67" x14ac:dyDescent="0.2">
      <c r="C106" s="2" t="s">
        <v>101</v>
      </c>
      <c r="E106" s="10">
        <f>SUM(E$10:E$105)</f>
        <v>2136250</v>
      </c>
      <c r="F106" s="10">
        <f t="shared" ref="F106:BO106" si="1">SUM(F$10:F$105)</f>
        <v>2157370</v>
      </c>
      <c r="G106" s="10">
        <f t="shared" si="1"/>
        <v>2176330</v>
      </c>
      <c r="H106" s="10">
        <f t="shared" si="1"/>
        <v>2197940</v>
      </c>
      <c r="I106" s="10">
        <f t="shared" si="1"/>
        <v>2222920</v>
      </c>
      <c r="J106" s="10">
        <f t="shared" si="1"/>
        <v>2240410</v>
      </c>
      <c r="K106" s="10">
        <f t="shared" si="1"/>
        <v>2253000</v>
      </c>
      <c r="L106" s="10">
        <f t="shared" si="1"/>
        <v>2269940</v>
      </c>
      <c r="M106" s="10">
        <f t="shared" si="1"/>
        <v>2300200</v>
      </c>
      <c r="N106" s="10">
        <f t="shared" si="1"/>
        <v>2338350</v>
      </c>
      <c r="O106" s="10">
        <f t="shared" si="1"/>
        <v>2367720</v>
      </c>
      <c r="P106" s="10">
        <f t="shared" si="1"/>
        <v>2387810</v>
      </c>
      <c r="Q106" s="10">
        <f t="shared" si="1"/>
        <v>2408000</v>
      </c>
      <c r="R106" s="10">
        <f t="shared" si="1"/>
        <v>2428350</v>
      </c>
      <c r="S106" s="10">
        <f t="shared" si="1"/>
        <v>2448670</v>
      </c>
      <c r="T106" s="10">
        <f t="shared" si="1"/>
        <v>2469080</v>
      </c>
      <c r="U106" s="10">
        <f t="shared" si="1"/>
        <v>2489550</v>
      </c>
      <c r="V106" s="10">
        <f t="shared" si="1"/>
        <v>2509890</v>
      </c>
      <c r="W106" s="10">
        <f t="shared" si="1"/>
        <v>2530130</v>
      </c>
      <c r="X106" s="10">
        <f t="shared" si="1"/>
        <v>2550220</v>
      </c>
      <c r="Y106" s="10">
        <f t="shared" si="1"/>
        <v>2570020</v>
      </c>
      <c r="Z106" s="10">
        <f t="shared" si="1"/>
        <v>2589620</v>
      </c>
      <c r="AA106" s="10">
        <f t="shared" si="1"/>
        <v>2608920</v>
      </c>
      <c r="AB106" s="10">
        <f t="shared" si="1"/>
        <v>2627920</v>
      </c>
      <c r="AC106" s="10">
        <f t="shared" si="1"/>
        <v>2646270</v>
      </c>
      <c r="AD106" s="10">
        <f t="shared" si="1"/>
        <v>2664260</v>
      </c>
      <c r="AE106" s="10">
        <f t="shared" si="1"/>
        <v>2681760</v>
      </c>
      <c r="AF106" s="10">
        <f t="shared" si="1"/>
        <v>2698710</v>
      </c>
      <c r="AG106" s="10">
        <f t="shared" si="1"/>
        <v>2715010</v>
      </c>
      <c r="AH106" s="10">
        <f t="shared" si="1"/>
        <v>2730860</v>
      </c>
      <c r="AI106" s="10">
        <f t="shared" si="1"/>
        <v>2746150</v>
      </c>
      <c r="AJ106" s="10">
        <f t="shared" si="1"/>
        <v>2760970</v>
      </c>
      <c r="AK106" s="10">
        <f t="shared" si="1"/>
        <v>2775360</v>
      </c>
      <c r="AL106" s="10">
        <f t="shared" si="1"/>
        <v>2789100</v>
      </c>
      <c r="AM106" s="10">
        <f t="shared" si="1"/>
        <v>2802490</v>
      </c>
      <c r="AN106" s="10">
        <f t="shared" si="1"/>
        <v>2815420</v>
      </c>
      <c r="AO106" s="10">
        <f t="shared" si="1"/>
        <v>2827820</v>
      </c>
      <c r="AP106" s="10">
        <f t="shared" si="1"/>
        <v>2839830</v>
      </c>
      <c r="AQ106" s="10">
        <f t="shared" si="1"/>
        <v>2851430</v>
      </c>
      <c r="AR106" s="10">
        <f t="shared" si="1"/>
        <v>2862640</v>
      </c>
      <c r="AS106" s="10">
        <f t="shared" si="1"/>
        <v>2873300</v>
      </c>
      <c r="AT106" s="10">
        <f t="shared" si="1"/>
        <v>2883510</v>
      </c>
      <c r="AU106" s="10">
        <f t="shared" si="1"/>
        <v>2893500</v>
      </c>
      <c r="AV106" s="10">
        <f t="shared" si="1"/>
        <v>2903060</v>
      </c>
      <c r="AW106" s="10">
        <f t="shared" si="1"/>
        <v>2912120</v>
      </c>
      <c r="AX106" s="10">
        <f t="shared" si="1"/>
        <v>2921020</v>
      </c>
      <c r="AY106" s="10">
        <f t="shared" si="1"/>
        <v>2929560</v>
      </c>
      <c r="AZ106" s="10">
        <f t="shared" si="1"/>
        <v>2937890</v>
      </c>
      <c r="BA106" s="10">
        <f t="shared" si="1"/>
        <v>2946010</v>
      </c>
      <c r="BB106" s="10">
        <f t="shared" si="1"/>
        <v>2954000</v>
      </c>
      <c r="BC106" s="10">
        <f t="shared" si="1"/>
        <v>2961690</v>
      </c>
      <c r="BD106" s="10">
        <f t="shared" si="1"/>
        <v>2969480</v>
      </c>
      <c r="BE106" s="10">
        <f t="shared" si="1"/>
        <v>2977230</v>
      </c>
      <c r="BF106" s="10">
        <f t="shared" si="1"/>
        <v>2984750</v>
      </c>
      <c r="BG106" s="10">
        <f t="shared" si="1"/>
        <v>2992400</v>
      </c>
      <c r="BH106" s="10">
        <f t="shared" si="1"/>
        <v>2999910</v>
      </c>
      <c r="BI106" s="10">
        <f t="shared" si="1"/>
        <v>3007560</v>
      </c>
      <c r="BJ106" s="10">
        <f t="shared" si="1"/>
        <v>3015360</v>
      </c>
      <c r="BK106" s="10">
        <f t="shared" si="1"/>
        <v>3023120</v>
      </c>
      <c r="BL106" s="10">
        <f t="shared" si="1"/>
        <v>3031080</v>
      </c>
      <c r="BM106" s="10">
        <f t="shared" si="1"/>
        <v>3039080</v>
      </c>
      <c r="BN106" s="10">
        <f t="shared" si="1"/>
        <v>3047210</v>
      </c>
      <c r="BO106" s="10">
        <f t="shared" si="1"/>
        <v>3055450</v>
      </c>
    </row>
    <row r="108" spans="1:67" x14ac:dyDescent="0.2">
      <c r="A108" s="2" t="s">
        <v>103</v>
      </c>
      <c r="C108" s="2" t="s">
        <v>99</v>
      </c>
    </row>
    <row r="109" spans="1:67" x14ac:dyDescent="0.2">
      <c r="C109" s="3">
        <v>0</v>
      </c>
      <c r="E109" s="9">
        <v>30150</v>
      </c>
      <c r="F109" s="9">
        <v>31900</v>
      </c>
      <c r="G109" s="9">
        <v>33050</v>
      </c>
      <c r="H109" s="9">
        <v>33060</v>
      </c>
      <c r="I109" s="9">
        <v>33020</v>
      </c>
      <c r="J109" s="9">
        <v>32130</v>
      </c>
      <c r="K109" s="9">
        <v>31320</v>
      </c>
      <c r="L109" s="9">
        <v>30890</v>
      </c>
      <c r="M109" s="9">
        <v>30330</v>
      </c>
      <c r="N109" s="9">
        <v>30060</v>
      </c>
      <c r="O109" s="9">
        <v>30570</v>
      </c>
      <c r="P109" s="9">
        <v>30890</v>
      </c>
      <c r="Q109" s="9">
        <v>31180</v>
      </c>
      <c r="R109" s="9">
        <v>31450</v>
      </c>
      <c r="S109" s="9">
        <v>31720</v>
      </c>
      <c r="T109" s="9">
        <v>31960</v>
      </c>
      <c r="U109" s="9">
        <v>32160</v>
      </c>
      <c r="V109" s="9">
        <v>32340</v>
      </c>
      <c r="W109" s="9">
        <v>32480</v>
      </c>
      <c r="X109" s="9">
        <v>32580</v>
      </c>
      <c r="Y109" s="9">
        <v>32650</v>
      </c>
      <c r="Z109" s="9">
        <v>32690</v>
      </c>
      <c r="AA109" s="9">
        <v>32700</v>
      </c>
      <c r="AB109" s="9">
        <v>32670</v>
      </c>
      <c r="AC109" s="9">
        <v>32610</v>
      </c>
      <c r="AD109" s="9">
        <v>32530</v>
      </c>
      <c r="AE109" s="9">
        <v>32450</v>
      </c>
      <c r="AF109" s="9">
        <v>32360</v>
      </c>
      <c r="AG109" s="9">
        <v>32280</v>
      </c>
      <c r="AH109" s="9">
        <v>32230</v>
      </c>
      <c r="AI109" s="9">
        <v>32200</v>
      </c>
      <c r="AJ109" s="9">
        <v>32190</v>
      </c>
      <c r="AK109" s="9">
        <v>32210</v>
      </c>
      <c r="AL109" s="9">
        <v>32240</v>
      </c>
      <c r="AM109" s="9">
        <v>32280</v>
      </c>
      <c r="AN109" s="9">
        <v>32330</v>
      </c>
      <c r="AO109" s="9">
        <v>32370</v>
      </c>
      <c r="AP109" s="9">
        <v>32410</v>
      </c>
      <c r="AQ109" s="9">
        <v>32440</v>
      </c>
      <c r="AR109" s="9">
        <v>32460</v>
      </c>
      <c r="AS109" s="9">
        <v>32480</v>
      </c>
      <c r="AT109" s="9">
        <v>32490</v>
      </c>
      <c r="AU109" s="9">
        <v>32500</v>
      </c>
      <c r="AV109" s="9">
        <v>32520</v>
      </c>
      <c r="AW109" s="9">
        <v>32550</v>
      </c>
      <c r="AX109" s="9">
        <v>32590</v>
      </c>
      <c r="AY109" s="9">
        <v>32640</v>
      </c>
      <c r="AZ109" s="9">
        <v>32700</v>
      </c>
      <c r="BA109" s="9">
        <v>32770</v>
      </c>
      <c r="BB109" s="9">
        <v>32850</v>
      </c>
      <c r="BC109" s="9">
        <v>32920</v>
      </c>
      <c r="BD109" s="9">
        <v>32990</v>
      </c>
      <c r="BE109" s="9">
        <v>33040</v>
      </c>
      <c r="BF109" s="9">
        <v>33090</v>
      </c>
      <c r="BG109" s="9">
        <v>33130</v>
      </c>
      <c r="BH109" s="9">
        <v>33150</v>
      </c>
      <c r="BI109" s="9">
        <v>33160</v>
      </c>
      <c r="BJ109" s="9">
        <v>33170</v>
      </c>
      <c r="BK109" s="9">
        <v>33170</v>
      </c>
      <c r="BL109" s="9">
        <v>33170</v>
      </c>
      <c r="BM109" s="9">
        <v>33160</v>
      </c>
      <c r="BN109" s="9">
        <v>33150</v>
      </c>
      <c r="BO109" s="9">
        <v>33150</v>
      </c>
    </row>
    <row r="110" spans="1:67" x14ac:dyDescent="0.2">
      <c r="C110" s="3">
        <v>1</v>
      </c>
      <c r="E110" s="9">
        <v>29380</v>
      </c>
      <c r="F110" s="9">
        <v>30170</v>
      </c>
      <c r="G110" s="9">
        <v>31780</v>
      </c>
      <c r="H110" s="9">
        <v>32980</v>
      </c>
      <c r="I110" s="9">
        <v>33130</v>
      </c>
      <c r="J110" s="9">
        <v>33060</v>
      </c>
      <c r="K110" s="9">
        <v>32050</v>
      </c>
      <c r="L110" s="9">
        <v>31410</v>
      </c>
      <c r="M110" s="9">
        <v>31070</v>
      </c>
      <c r="N110" s="9">
        <v>30540</v>
      </c>
      <c r="O110" s="9">
        <v>30150</v>
      </c>
      <c r="P110" s="9">
        <v>30540</v>
      </c>
      <c r="Q110" s="9">
        <v>30860</v>
      </c>
      <c r="R110" s="9">
        <v>31150</v>
      </c>
      <c r="S110" s="9">
        <v>31430</v>
      </c>
      <c r="T110" s="9">
        <v>31700</v>
      </c>
      <c r="U110" s="9">
        <v>31930</v>
      </c>
      <c r="V110" s="9">
        <v>32140</v>
      </c>
      <c r="W110" s="9">
        <v>32320</v>
      </c>
      <c r="X110" s="9">
        <v>32460</v>
      </c>
      <c r="Y110" s="9">
        <v>32560</v>
      </c>
      <c r="Z110" s="9">
        <v>32630</v>
      </c>
      <c r="AA110" s="9">
        <v>32670</v>
      </c>
      <c r="AB110" s="9">
        <v>32680</v>
      </c>
      <c r="AC110" s="9">
        <v>32650</v>
      </c>
      <c r="AD110" s="9">
        <v>32590</v>
      </c>
      <c r="AE110" s="9">
        <v>32520</v>
      </c>
      <c r="AF110" s="9">
        <v>32430</v>
      </c>
      <c r="AG110" s="9">
        <v>32340</v>
      </c>
      <c r="AH110" s="9">
        <v>32270</v>
      </c>
      <c r="AI110" s="9">
        <v>32210</v>
      </c>
      <c r="AJ110" s="9">
        <v>32180</v>
      </c>
      <c r="AK110" s="9">
        <v>32180</v>
      </c>
      <c r="AL110" s="9">
        <v>32190</v>
      </c>
      <c r="AM110" s="9">
        <v>32230</v>
      </c>
      <c r="AN110" s="9">
        <v>32270</v>
      </c>
      <c r="AO110" s="9">
        <v>32310</v>
      </c>
      <c r="AP110" s="9">
        <v>32360</v>
      </c>
      <c r="AQ110" s="9">
        <v>32390</v>
      </c>
      <c r="AR110" s="9">
        <v>32430</v>
      </c>
      <c r="AS110" s="9">
        <v>32450</v>
      </c>
      <c r="AT110" s="9">
        <v>32460</v>
      </c>
      <c r="AU110" s="9">
        <v>32470</v>
      </c>
      <c r="AV110" s="9">
        <v>32490</v>
      </c>
      <c r="AW110" s="9">
        <v>32510</v>
      </c>
      <c r="AX110" s="9">
        <v>32540</v>
      </c>
      <c r="AY110" s="9">
        <v>32580</v>
      </c>
      <c r="AZ110" s="9">
        <v>32630</v>
      </c>
      <c r="BA110" s="9">
        <v>32690</v>
      </c>
      <c r="BB110" s="9">
        <v>32760</v>
      </c>
      <c r="BC110" s="9">
        <v>32840</v>
      </c>
      <c r="BD110" s="9">
        <v>32910</v>
      </c>
      <c r="BE110" s="9">
        <v>32980</v>
      </c>
      <c r="BF110" s="9">
        <v>33030</v>
      </c>
      <c r="BG110" s="9">
        <v>33080</v>
      </c>
      <c r="BH110" s="9">
        <v>33120</v>
      </c>
      <c r="BI110" s="9">
        <v>33140</v>
      </c>
      <c r="BJ110" s="9">
        <v>33150</v>
      </c>
      <c r="BK110" s="9">
        <v>33160</v>
      </c>
      <c r="BL110" s="9">
        <v>33160</v>
      </c>
      <c r="BM110" s="9">
        <v>33160</v>
      </c>
      <c r="BN110" s="9">
        <v>33150</v>
      </c>
      <c r="BO110" s="9">
        <v>33140</v>
      </c>
    </row>
    <row r="111" spans="1:67" x14ac:dyDescent="0.2">
      <c r="C111" s="3">
        <v>2</v>
      </c>
      <c r="E111" s="9">
        <v>29510</v>
      </c>
      <c r="F111" s="9">
        <v>29490</v>
      </c>
      <c r="G111" s="9">
        <v>30170</v>
      </c>
      <c r="H111" s="9">
        <v>31800</v>
      </c>
      <c r="I111" s="9">
        <v>33070</v>
      </c>
      <c r="J111" s="9">
        <v>33070</v>
      </c>
      <c r="K111" s="9">
        <v>32930</v>
      </c>
      <c r="L111" s="9">
        <v>31970</v>
      </c>
      <c r="M111" s="9">
        <v>31630</v>
      </c>
      <c r="N111" s="9">
        <v>31330</v>
      </c>
      <c r="O111" s="9">
        <v>30670</v>
      </c>
      <c r="P111" s="9">
        <v>30160</v>
      </c>
      <c r="Q111" s="9">
        <v>30550</v>
      </c>
      <c r="R111" s="9">
        <v>30880</v>
      </c>
      <c r="S111" s="9">
        <v>31160</v>
      </c>
      <c r="T111" s="9">
        <v>31440</v>
      </c>
      <c r="U111" s="9">
        <v>31710</v>
      </c>
      <c r="V111" s="9">
        <v>31950</v>
      </c>
      <c r="W111" s="9">
        <v>32160</v>
      </c>
      <c r="X111" s="9">
        <v>32330</v>
      </c>
      <c r="Y111" s="9">
        <v>32470</v>
      </c>
      <c r="Z111" s="9">
        <v>32580</v>
      </c>
      <c r="AA111" s="9">
        <v>32650</v>
      </c>
      <c r="AB111" s="9">
        <v>32690</v>
      </c>
      <c r="AC111" s="9">
        <v>32690</v>
      </c>
      <c r="AD111" s="9">
        <v>32660</v>
      </c>
      <c r="AE111" s="9">
        <v>32610</v>
      </c>
      <c r="AF111" s="9">
        <v>32530</v>
      </c>
      <c r="AG111" s="9">
        <v>32450</v>
      </c>
      <c r="AH111" s="9">
        <v>32360</v>
      </c>
      <c r="AI111" s="9">
        <v>32280</v>
      </c>
      <c r="AJ111" s="9">
        <v>32230</v>
      </c>
      <c r="AK111" s="9">
        <v>32200</v>
      </c>
      <c r="AL111" s="9">
        <v>32200</v>
      </c>
      <c r="AM111" s="9">
        <v>32210</v>
      </c>
      <c r="AN111" s="9">
        <v>32250</v>
      </c>
      <c r="AO111" s="9">
        <v>32290</v>
      </c>
      <c r="AP111" s="9">
        <v>32330</v>
      </c>
      <c r="AQ111" s="9">
        <v>32380</v>
      </c>
      <c r="AR111" s="9">
        <v>32410</v>
      </c>
      <c r="AS111" s="9">
        <v>32450</v>
      </c>
      <c r="AT111" s="9">
        <v>32470</v>
      </c>
      <c r="AU111" s="9">
        <v>32480</v>
      </c>
      <c r="AV111" s="9">
        <v>32490</v>
      </c>
      <c r="AW111" s="9">
        <v>32510</v>
      </c>
      <c r="AX111" s="9">
        <v>32530</v>
      </c>
      <c r="AY111" s="9">
        <v>32560</v>
      </c>
      <c r="AZ111" s="9">
        <v>32600</v>
      </c>
      <c r="BA111" s="9">
        <v>32650</v>
      </c>
      <c r="BB111" s="9">
        <v>32710</v>
      </c>
      <c r="BC111" s="9">
        <v>32780</v>
      </c>
      <c r="BD111" s="9">
        <v>32860</v>
      </c>
      <c r="BE111" s="9">
        <v>32930</v>
      </c>
      <c r="BF111" s="9">
        <v>33000</v>
      </c>
      <c r="BG111" s="9">
        <v>33050</v>
      </c>
      <c r="BH111" s="9">
        <v>33100</v>
      </c>
      <c r="BI111" s="9">
        <v>33140</v>
      </c>
      <c r="BJ111" s="9">
        <v>33160</v>
      </c>
      <c r="BK111" s="9">
        <v>33180</v>
      </c>
      <c r="BL111" s="9">
        <v>33180</v>
      </c>
      <c r="BM111" s="9">
        <v>33180</v>
      </c>
      <c r="BN111" s="9">
        <v>33180</v>
      </c>
      <c r="BO111" s="9">
        <v>33170</v>
      </c>
    </row>
    <row r="112" spans="1:67" x14ac:dyDescent="0.2">
      <c r="C112" s="3">
        <v>3</v>
      </c>
      <c r="E112" s="9">
        <v>28800</v>
      </c>
      <c r="F112" s="9">
        <v>29680</v>
      </c>
      <c r="G112" s="9">
        <v>29550</v>
      </c>
      <c r="H112" s="9">
        <v>30280</v>
      </c>
      <c r="I112" s="9">
        <v>31860</v>
      </c>
      <c r="J112" s="9">
        <v>32950</v>
      </c>
      <c r="K112" s="9">
        <v>32970</v>
      </c>
      <c r="L112" s="9">
        <v>32960</v>
      </c>
      <c r="M112" s="9">
        <v>32190</v>
      </c>
      <c r="N112" s="9">
        <v>31890</v>
      </c>
      <c r="O112" s="9">
        <v>31470</v>
      </c>
      <c r="P112" s="9">
        <v>30680</v>
      </c>
      <c r="Q112" s="9">
        <v>30170</v>
      </c>
      <c r="R112" s="9">
        <v>30560</v>
      </c>
      <c r="S112" s="9">
        <v>30890</v>
      </c>
      <c r="T112" s="9">
        <v>31170</v>
      </c>
      <c r="U112" s="9">
        <v>31450</v>
      </c>
      <c r="V112" s="9">
        <v>31720</v>
      </c>
      <c r="W112" s="9">
        <v>31960</v>
      </c>
      <c r="X112" s="9">
        <v>32170</v>
      </c>
      <c r="Y112" s="9">
        <v>32340</v>
      </c>
      <c r="Z112" s="9">
        <v>32480</v>
      </c>
      <c r="AA112" s="9">
        <v>32590</v>
      </c>
      <c r="AB112" s="9">
        <v>32660</v>
      </c>
      <c r="AC112" s="9">
        <v>32700</v>
      </c>
      <c r="AD112" s="9">
        <v>32700</v>
      </c>
      <c r="AE112" s="9">
        <v>32680</v>
      </c>
      <c r="AF112" s="9">
        <v>32620</v>
      </c>
      <c r="AG112" s="9">
        <v>32540</v>
      </c>
      <c r="AH112" s="9">
        <v>32460</v>
      </c>
      <c r="AI112" s="9">
        <v>32370</v>
      </c>
      <c r="AJ112" s="9">
        <v>32300</v>
      </c>
      <c r="AK112" s="9">
        <v>32240</v>
      </c>
      <c r="AL112" s="9">
        <v>32210</v>
      </c>
      <c r="AM112" s="9">
        <v>32210</v>
      </c>
      <c r="AN112" s="9">
        <v>32220</v>
      </c>
      <c r="AO112" s="9">
        <v>32260</v>
      </c>
      <c r="AP112" s="9">
        <v>32300</v>
      </c>
      <c r="AQ112" s="9">
        <v>32350</v>
      </c>
      <c r="AR112" s="9">
        <v>32390</v>
      </c>
      <c r="AS112" s="9">
        <v>32430</v>
      </c>
      <c r="AT112" s="9">
        <v>32460</v>
      </c>
      <c r="AU112" s="9">
        <v>32480</v>
      </c>
      <c r="AV112" s="9">
        <v>32490</v>
      </c>
      <c r="AW112" s="9">
        <v>32510</v>
      </c>
      <c r="AX112" s="9">
        <v>32520</v>
      </c>
      <c r="AY112" s="9">
        <v>32540</v>
      </c>
      <c r="AZ112" s="9">
        <v>32570</v>
      </c>
      <c r="BA112" s="9">
        <v>32610</v>
      </c>
      <c r="BB112" s="9">
        <v>32660</v>
      </c>
      <c r="BC112" s="9">
        <v>32730</v>
      </c>
      <c r="BD112" s="9">
        <v>32800</v>
      </c>
      <c r="BE112" s="9">
        <v>32870</v>
      </c>
      <c r="BF112" s="9">
        <v>32940</v>
      </c>
      <c r="BG112" s="9">
        <v>33010</v>
      </c>
      <c r="BH112" s="9">
        <v>33070</v>
      </c>
      <c r="BI112" s="9">
        <v>33110</v>
      </c>
      <c r="BJ112" s="9">
        <v>33150</v>
      </c>
      <c r="BK112" s="9">
        <v>33170</v>
      </c>
      <c r="BL112" s="9">
        <v>33190</v>
      </c>
      <c r="BM112" s="9">
        <v>33200</v>
      </c>
      <c r="BN112" s="9">
        <v>33200</v>
      </c>
      <c r="BO112" s="9">
        <v>33190</v>
      </c>
    </row>
    <row r="113" spans="3:67" x14ac:dyDescent="0.2">
      <c r="C113" s="3">
        <v>4</v>
      </c>
      <c r="E113" s="9">
        <v>28370</v>
      </c>
      <c r="F113" s="9">
        <v>28970</v>
      </c>
      <c r="G113" s="9">
        <v>29740</v>
      </c>
      <c r="H113" s="9">
        <v>29670</v>
      </c>
      <c r="I113" s="9">
        <v>30290</v>
      </c>
      <c r="J113" s="9">
        <v>31810</v>
      </c>
      <c r="K113" s="9">
        <v>32820</v>
      </c>
      <c r="L113" s="9">
        <v>32930</v>
      </c>
      <c r="M113" s="9">
        <v>33140</v>
      </c>
      <c r="N113" s="9">
        <v>32450</v>
      </c>
      <c r="O113" s="9">
        <v>32020</v>
      </c>
      <c r="P113" s="9">
        <v>31470</v>
      </c>
      <c r="Q113" s="9">
        <v>30680</v>
      </c>
      <c r="R113" s="9">
        <v>30170</v>
      </c>
      <c r="S113" s="9">
        <v>30560</v>
      </c>
      <c r="T113" s="9">
        <v>30890</v>
      </c>
      <c r="U113" s="9">
        <v>31170</v>
      </c>
      <c r="V113" s="9">
        <v>31450</v>
      </c>
      <c r="W113" s="9">
        <v>31720</v>
      </c>
      <c r="X113" s="9">
        <v>31960</v>
      </c>
      <c r="Y113" s="9">
        <v>32170</v>
      </c>
      <c r="Z113" s="9">
        <v>32340</v>
      </c>
      <c r="AA113" s="9">
        <v>32490</v>
      </c>
      <c r="AB113" s="9">
        <v>32590</v>
      </c>
      <c r="AC113" s="9">
        <v>32660</v>
      </c>
      <c r="AD113" s="9">
        <v>32700</v>
      </c>
      <c r="AE113" s="9">
        <v>32710</v>
      </c>
      <c r="AF113" s="9">
        <v>32680</v>
      </c>
      <c r="AG113" s="9">
        <v>32620</v>
      </c>
      <c r="AH113" s="9">
        <v>32550</v>
      </c>
      <c r="AI113" s="9">
        <v>32460</v>
      </c>
      <c r="AJ113" s="9">
        <v>32370</v>
      </c>
      <c r="AK113" s="9">
        <v>32300</v>
      </c>
      <c r="AL113" s="9">
        <v>32240</v>
      </c>
      <c r="AM113" s="9">
        <v>32220</v>
      </c>
      <c r="AN113" s="9">
        <v>32210</v>
      </c>
      <c r="AO113" s="9">
        <v>32230</v>
      </c>
      <c r="AP113" s="9">
        <v>32260</v>
      </c>
      <c r="AQ113" s="9">
        <v>32300</v>
      </c>
      <c r="AR113" s="9">
        <v>32350</v>
      </c>
      <c r="AS113" s="9">
        <v>32390</v>
      </c>
      <c r="AT113" s="9">
        <v>32430</v>
      </c>
      <c r="AU113" s="9">
        <v>32460</v>
      </c>
      <c r="AV113" s="9">
        <v>32480</v>
      </c>
      <c r="AW113" s="9">
        <v>32500</v>
      </c>
      <c r="AX113" s="9">
        <v>32510</v>
      </c>
      <c r="AY113" s="9">
        <v>32520</v>
      </c>
      <c r="AZ113" s="9">
        <v>32540</v>
      </c>
      <c r="BA113" s="9">
        <v>32570</v>
      </c>
      <c r="BB113" s="9">
        <v>32610</v>
      </c>
      <c r="BC113" s="9">
        <v>32670</v>
      </c>
      <c r="BD113" s="9">
        <v>32730</v>
      </c>
      <c r="BE113" s="9">
        <v>32800</v>
      </c>
      <c r="BF113" s="9">
        <v>32870</v>
      </c>
      <c r="BG113" s="9">
        <v>32950</v>
      </c>
      <c r="BH113" s="9">
        <v>33010</v>
      </c>
      <c r="BI113" s="9">
        <v>33070</v>
      </c>
      <c r="BJ113" s="9">
        <v>33120</v>
      </c>
      <c r="BK113" s="9">
        <v>33150</v>
      </c>
      <c r="BL113" s="9">
        <v>33180</v>
      </c>
      <c r="BM113" s="9">
        <v>33190</v>
      </c>
      <c r="BN113" s="9">
        <v>33200</v>
      </c>
      <c r="BO113" s="9">
        <v>33200</v>
      </c>
    </row>
    <row r="114" spans="3:67" x14ac:dyDescent="0.2">
      <c r="C114" s="3">
        <v>5</v>
      </c>
      <c r="E114" s="9">
        <v>29670</v>
      </c>
      <c r="F114" s="9">
        <v>28590</v>
      </c>
      <c r="G114" s="9">
        <v>29100</v>
      </c>
      <c r="H114" s="9">
        <v>29870</v>
      </c>
      <c r="I114" s="9">
        <v>29760</v>
      </c>
      <c r="J114" s="9">
        <v>30240</v>
      </c>
      <c r="K114" s="9">
        <v>31670</v>
      </c>
      <c r="L114" s="9">
        <v>32730</v>
      </c>
      <c r="M114" s="9">
        <v>33070</v>
      </c>
      <c r="N114" s="9">
        <v>33390</v>
      </c>
      <c r="O114" s="9">
        <v>32570</v>
      </c>
      <c r="P114" s="9">
        <v>32020</v>
      </c>
      <c r="Q114" s="9">
        <v>31470</v>
      </c>
      <c r="R114" s="9">
        <v>30690</v>
      </c>
      <c r="S114" s="9">
        <v>30180</v>
      </c>
      <c r="T114" s="9">
        <v>30560</v>
      </c>
      <c r="U114" s="9">
        <v>30890</v>
      </c>
      <c r="V114" s="9">
        <v>31180</v>
      </c>
      <c r="W114" s="9">
        <v>31460</v>
      </c>
      <c r="X114" s="9">
        <v>31720</v>
      </c>
      <c r="Y114" s="9">
        <v>31960</v>
      </c>
      <c r="Z114" s="9">
        <v>32170</v>
      </c>
      <c r="AA114" s="9">
        <v>32350</v>
      </c>
      <c r="AB114" s="9">
        <v>32490</v>
      </c>
      <c r="AC114" s="9">
        <v>32590</v>
      </c>
      <c r="AD114" s="9">
        <v>32660</v>
      </c>
      <c r="AE114" s="9">
        <v>32700</v>
      </c>
      <c r="AF114" s="9">
        <v>32710</v>
      </c>
      <c r="AG114" s="9">
        <v>32680</v>
      </c>
      <c r="AH114" s="9">
        <v>32630</v>
      </c>
      <c r="AI114" s="9">
        <v>32550</v>
      </c>
      <c r="AJ114" s="9">
        <v>32460</v>
      </c>
      <c r="AK114" s="9">
        <v>32380</v>
      </c>
      <c r="AL114" s="9">
        <v>32300</v>
      </c>
      <c r="AM114" s="9">
        <v>32250</v>
      </c>
      <c r="AN114" s="9">
        <v>32220</v>
      </c>
      <c r="AO114" s="9">
        <v>32220</v>
      </c>
      <c r="AP114" s="9">
        <v>32230</v>
      </c>
      <c r="AQ114" s="9">
        <v>32260</v>
      </c>
      <c r="AR114" s="9">
        <v>32310</v>
      </c>
      <c r="AS114" s="9">
        <v>32350</v>
      </c>
      <c r="AT114" s="9">
        <v>32400</v>
      </c>
      <c r="AU114" s="9">
        <v>32430</v>
      </c>
      <c r="AV114" s="9">
        <v>32460</v>
      </c>
      <c r="AW114" s="9">
        <v>32490</v>
      </c>
      <c r="AX114" s="9">
        <v>32500</v>
      </c>
      <c r="AY114" s="9">
        <v>32510</v>
      </c>
      <c r="AZ114" s="9">
        <v>32530</v>
      </c>
      <c r="BA114" s="9">
        <v>32550</v>
      </c>
      <c r="BB114" s="9">
        <v>32580</v>
      </c>
      <c r="BC114" s="9">
        <v>32620</v>
      </c>
      <c r="BD114" s="9">
        <v>32670</v>
      </c>
      <c r="BE114" s="9">
        <v>32730</v>
      </c>
      <c r="BF114" s="9">
        <v>32800</v>
      </c>
      <c r="BG114" s="9">
        <v>32880</v>
      </c>
      <c r="BH114" s="9">
        <v>32950</v>
      </c>
      <c r="BI114" s="9">
        <v>33020</v>
      </c>
      <c r="BJ114" s="9">
        <v>33070</v>
      </c>
      <c r="BK114" s="9">
        <v>33120</v>
      </c>
      <c r="BL114" s="9">
        <v>33160</v>
      </c>
      <c r="BM114" s="9">
        <v>33180</v>
      </c>
      <c r="BN114" s="9">
        <v>33200</v>
      </c>
      <c r="BO114" s="9">
        <v>33200</v>
      </c>
    </row>
    <row r="115" spans="3:67" x14ac:dyDescent="0.2">
      <c r="C115" s="3">
        <v>6</v>
      </c>
      <c r="E115" s="9">
        <v>30280</v>
      </c>
      <c r="F115" s="9">
        <v>29980</v>
      </c>
      <c r="G115" s="9">
        <v>28760</v>
      </c>
      <c r="H115" s="9">
        <v>29210</v>
      </c>
      <c r="I115" s="9">
        <v>29950</v>
      </c>
      <c r="J115" s="9">
        <v>29730</v>
      </c>
      <c r="K115" s="9">
        <v>30080</v>
      </c>
      <c r="L115" s="9">
        <v>31520</v>
      </c>
      <c r="M115" s="9">
        <v>32870</v>
      </c>
      <c r="N115" s="9">
        <v>33320</v>
      </c>
      <c r="O115" s="9">
        <v>33510</v>
      </c>
      <c r="P115" s="9">
        <v>32570</v>
      </c>
      <c r="Q115" s="9">
        <v>32020</v>
      </c>
      <c r="R115" s="9">
        <v>31470</v>
      </c>
      <c r="S115" s="9">
        <v>30690</v>
      </c>
      <c r="T115" s="9">
        <v>30180</v>
      </c>
      <c r="U115" s="9">
        <v>30570</v>
      </c>
      <c r="V115" s="9">
        <v>30890</v>
      </c>
      <c r="W115" s="9">
        <v>31180</v>
      </c>
      <c r="X115" s="9">
        <v>31460</v>
      </c>
      <c r="Y115" s="9">
        <v>31730</v>
      </c>
      <c r="Z115" s="9">
        <v>31970</v>
      </c>
      <c r="AA115" s="9">
        <v>32170</v>
      </c>
      <c r="AB115" s="9">
        <v>32350</v>
      </c>
      <c r="AC115" s="9">
        <v>32490</v>
      </c>
      <c r="AD115" s="9">
        <v>32600</v>
      </c>
      <c r="AE115" s="9">
        <v>32670</v>
      </c>
      <c r="AF115" s="9">
        <v>32710</v>
      </c>
      <c r="AG115" s="9">
        <v>32710</v>
      </c>
      <c r="AH115" s="9">
        <v>32680</v>
      </c>
      <c r="AI115" s="9">
        <v>32630</v>
      </c>
      <c r="AJ115" s="9">
        <v>32550</v>
      </c>
      <c r="AK115" s="9">
        <v>32470</v>
      </c>
      <c r="AL115" s="9">
        <v>32380</v>
      </c>
      <c r="AM115" s="9">
        <v>32310</v>
      </c>
      <c r="AN115" s="9">
        <v>32250</v>
      </c>
      <c r="AO115" s="9">
        <v>32220</v>
      </c>
      <c r="AP115" s="9">
        <v>32220</v>
      </c>
      <c r="AQ115" s="9">
        <v>32240</v>
      </c>
      <c r="AR115" s="9">
        <v>32270</v>
      </c>
      <c r="AS115" s="9">
        <v>32310</v>
      </c>
      <c r="AT115" s="9">
        <v>32360</v>
      </c>
      <c r="AU115" s="9">
        <v>32400</v>
      </c>
      <c r="AV115" s="9">
        <v>32440</v>
      </c>
      <c r="AW115" s="9">
        <v>32470</v>
      </c>
      <c r="AX115" s="9">
        <v>32490</v>
      </c>
      <c r="AY115" s="9">
        <v>32510</v>
      </c>
      <c r="AZ115" s="9">
        <v>32520</v>
      </c>
      <c r="BA115" s="9">
        <v>32530</v>
      </c>
      <c r="BB115" s="9">
        <v>32550</v>
      </c>
      <c r="BC115" s="9">
        <v>32580</v>
      </c>
      <c r="BD115" s="9">
        <v>32620</v>
      </c>
      <c r="BE115" s="9">
        <v>32670</v>
      </c>
      <c r="BF115" s="9">
        <v>32740</v>
      </c>
      <c r="BG115" s="9">
        <v>32810</v>
      </c>
      <c r="BH115" s="9">
        <v>32880</v>
      </c>
      <c r="BI115" s="9">
        <v>32960</v>
      </c>
      <c r="BJ115" s="9">
        <v>33020</v>
      </c>
      <c r="BK115" s="9">
        <v>33080</v>
      </c>
      <c r="BL115" s="9">
        <v>33130</v>
      </c>
      <c r="BM115" s="9">
        <v>33160</v>
      </c>
      <c r="BN115" s="9">
        <v>33190</v>
      </c>
      <c r="BO115" s="9">
        <v>33200</v>
      </c>
    </row>
    <row r="116" spans="3:67" x14ac:dyDescent="0.2">
      <c r="C116" s="3">
        <v>7</v>
      </c>
      <c r="E116" s="9">
        <v>29500</v>
      </c>
      <c r="F116" s="9">
        <v>30570</v>
      </c>
      <c r="G116" s="9">
        <v>30180</v>
      </c>
      <c r="H116" s="9">
        <v>28890</v>
      </c>
      <c r="I116" s="9">
        <v>29340</v>
      </c>
      <c r="J116" s="9">
        <v>29910</v>
      </c>
      <c r="K116" s="9">
        <v>29610</v>
      </c>
      <c r="L116" s="9">
        <v>29960</v>
      </c>
      <c r="M116" s="9">
        <v>31620</v>
      </c>
      <c r="N116" s="9">
        <v>33110</v>
      </c>
      <c r="O116" s="9">
        <v>33440</v>
      </c>
      <c r="P116" s="9">
        <v>33510</v>
      </c>
      <c r="Q116" s="9">
        <v>32570</v>
      </c>
      <c r="R116" s="9">
        <v>32020</v>
      </c>
      <c r="S116" s="9">
        <v>31470</v>
      </c>
      <c r="T116" s="9">
        <v>30690</v>
      </c>
      <c r="U116" s="9">
        <v>30180</v>
      </c>
      <c r="V116" s="9">
        <v>30570</v>
      </c>
      <c r="W116" s="9">
        <v>30900</v>
      </c>
      <c r="X116" s="9">
        <v>31180</v>
      </c>
      <c r="Y116" s="9">
        <v>31460</v>
      </c>
      <c r="Z116" s="9">
        <v>31730</v>
      </c>
      <c r="AA116" s="9">
        <v>31970</v>
      </c>
      <c r="AB116" s="9">
        <v>32180</v>
      </c>
      <c r="AC116" s="9">
        <v>32350</v>
      </c>
      <c r="AD116" s="9">
        <v>32490</v>
      </c>
      <c r="AE116" s="9">
        <v>32600</v>
      </c>
      <c r="AF116" s="9">
        <v>32670</v>
      </c>
      <c r="AG116" s="9">
        <v>32710</v>
      </c>
      <c r="AH116" s="9">
        <v>32710</v>
      </c>
      <c r="AI116" s="9">
        <v>32690</v>
      </c>
      <c r="AJ116" s="9">
        <v>32630</v>
      </c>
      <c r="AK116" s="9">
        <v>32560</v>
      </c>
      <c r="AL116" s="9">
        <v>32470</v>
      </c>
      <c r="AM116" s="9">
        <v>32380</v>
      </c>
      <c r="AN116" s="9">
        <v>32310</v>
      </c>
      <c r="AO116" s="9">
        <v>32260</v>
      </c>
      <c r="AP116" s="9">
        <v>32230</v>
      </c>
      <c r="AQ116" s="9">
        <v>32220</v>
      </c>
      <c r="AR116" s="9">
        <v>32240</v>
      </c>
      <c r="AS116" s="9">
        <v>32270</v>
      </c>
      <c r="AT116" s="9">
        <v>32310</v>
      </c>
      <c r="AU116" s="9">
        <v>32360</v>
      </c>
      <c r="AV116" s="9">
        <v>32400</v>
      </c>
      <c r="AW116" s="9">
        <v>32440</v>
      </c>
      <c r="AX116" s="9">
        <v>32470</v>
      </c>
      <c r="AY116" s="9">
        <v>32490</v>
      </c>
      <c r="AZ116" s="9">
        <v>32510</v>
      </c>
      <c r="BA116" s="9">
        <v>32520</v>
      </c>
      <c r="BB116" s="9">
        <v>32540</v>
      </c>
      <c r="BC116" s="9">
        <v>32560</v>
      </c>
      <c r="BD116" s="9">
        <v>32580</v>
      </c>
      <c r="BE116" s="9">
        <v>32620</v>
      </c>
      <c r="BF116" s="9">
        <v>32680</v>
      </c>
      <c r="BG116" s="9">
        <v>32740</v>
      </c>
      <c r="BH116" s="9">
        <v>32810</v>
      </c>
      <c r="BI116" s="9">
        <v>32890</v>
      </c>
      <c r="BJ116" s="9">
        <v>32960</v>
      </c>
      <c r="BK116" s="9">
        <v>33030</v>
      </c>
      <c r="BL116" s="9">
        <v>33080</v>
      </c>
      <c r="BM116" s="9">
        <v>33130</v>
      </c>
      <c r="BN116" s="9">
        <v>33170</v>
      </c>
      <c r="BO116" s="9">
        <v>33190</v>
      </c>
    </row>
    <row r="117" spans="3:67" x14ac:dyDescent="0.2">
      <c r="C117" s="3">
        <v>8</v>
      </c>
      <c r="E117" s="9">
        <v>29960</v>
      </c>
      <c r="F117" s="9">
        <v>29810</v>
      </c>
      <c r="G117" s="9">
        <v>30860</v>
      </c>
      <c r="H117" s="9">
        <v>30370</v>
      </c>
      <c r="I117" s="9">
        <v>29120</v>
      </c>
      <c r="J117" s="9">
        <v>29410</v>
      </c>
      <c r="K117" s="9">
        <v>29840</v>
      </c>
      <c r="L117" s="9">
        <v>29550</v>
      </c>
      <c r="M117" s="9">
        <v>30060</v>
      </c>
      <c r="N117" s="9">
        <v>31860</v>
      </c>
      <c r="O117" s="9">
        <v>33230</v>
      </c>
      <c r="P117" s="9">
        <v>33450</v>
      </c>
      <c r="Q117" s="9">
        <v>33520</v>
      </c>
      <c r="R117" s="9">
        <v>32580</v>
      </c>
      <c r="S117" s="9">
        <v>32030</v>
      </c>
      <c r="T117" s="9">
        <v>31480</v>
      </c>
      <c r="U117" s="9">
        <v>30700</v>
      </c>
      <c r="V117" s="9">
        <v>30190</v>
      </c>
      <c r="W117" s="9">
        <v>30580</v>
      </c>
      <c r="X117" s="9">
        <v>30910</v>
      </c>
      <c r="Y117" s="9">
        <v>31190</v>
      </c>
      <c r="Z117" s="9">
        <v>31470</v>
      </c>
      <c r="AA117" s="9">
        <v>31740</v>
      </c>
      <c r="AB117" s="9">
        <v>31980</v>
      </c>
      <c r="AC117" s="9">
        <v>32180</v>
      </c>
      <c r="AD117" s="9">
        <v>32360</v>
      </c>
      <c r="AE117" s="9">
        <v>32500</v>
      </c>
      <c r="AF117" s="9">
        <v>32610</v>
      </c>
      <c r="AG117" s="9">
        <v>32680</v>
      </c>
      <c r="AH117" s="9">
        <v>32720</v>
      </c>
      <c r="AI117" s="9">
        <v>32720</v>
      </c>
      <c r="AJ117" s="9">
        <v>32700</v>
      </c>
      <c r="AK117" s="9">
        <v>32640</v>
      </c>
      <c r="AL117" s="9">
        <v>32570</v>
      </c>
      <c r="AM117" s="9">
        <v>32480</v>
      </c>
      <c r="AN117" s="9">
        <v>32390</v>
      </c>
      <c r="AO117" s="9">
        <v>32320</v>
      </c>
      <c r="AP117" s="9">
        <v>32270</v>
      </c>
      <c r="AQ117" s="9">
        <v>32240</v>
      </c>
      <c r="AR117" s="9">
        <v>32230</v>
      </c>
      <c r="AS117" s="9">
        <v>32250</v>
      </c>
      <c r="AT117" s="9">
        <v>32280</v>
      </c>
      <c r="AU117" s="9">
        <v>32320</v>
      </c>
      <c r="AV117" s="9">
        <v>32370</v>
      </c>
      <c r="AW117" s="9">
        <v>32410</v>
      </c>
      <c r="AX117" s="9">
        <v>32450</v>
      </c>
      <c r="AY117" s="9">
        <v>32480</v>
      </c>
      <c r="AZ117" s="9">
        <v>32500</v>
      </c>
      <c r="BA117" s="9">
        <v>32520</v>
      </c>
      <c r="BB117" s="9">
        <v>32530</v>
      </c>
      <c r="BC117" s="9">
        <v>32550</v>
      </c>
      <c r="BD117" s="9">
        <v>32570</v>
      </c>
      <c r="BE117" s="9">
        <v>32590</v>
      </c>
      <c r="BF117" s="9">
        <v>32640</v>
      </c>
      <c r="BG117" s="9">
        <v>32690</v>
      </c>
      <c r="BH117" s="9">
        <v>32750</v>
      </c>
      <c r="BI117" s="9">
        <v>32820</v>
      </c>
      <c r="BJ117" s="9">
        <v>32900</v>
      </c>
      <c r="BK117" s="9">
        <v>32970</v>
      </c>
      <c r="BL117" s="9">
        <v>33040</v>
      </c>
      <c r="BM117" s="9">
        <v>33090</v>
      </c>
      <c r="BN117" s="9">
        <v>33140</v>
      </c>
      <c r="BO117" s="9">
        <v>33180</v>
      </c>
    </row>
    <row r="118" spans="3:67" x14ac:dyDescent="0.2">
      <c r="C118" s="3">
        <v>9</v>
      </c>
      <c r="E118" s="9">
        <v>29820</v>
      </c>
      <c r="F118" s="9">
        <v>30270</v>
      </c>
      <c r="G118" s="9">
        <v>30090</v>
      </c>
      <c r="H118" s="9">
        <v>31080</v>
      </c>
      <c r="I118" s="9">
        <v>30610</v>
      </c>
      <c r="J118" s="9">
        <v>29220</v>
      </c>
      <c r="K118" s="9">
        <v>29330</v>
      </c>
      <c r="L118" s="9">
        <v>29810</v>
      </c>
      <c r="M118" s="9">
        <v>29610</v>
      </c>
      <c r="N118" s="9">
        <v>30320</v>
      </c>
      <c r="O118" s="9">
        <v>32000</v>
      </c>
      <c r="P118" s="9">
        <v>33250</v>
      </c>
      <c r="Q118" s="9">
        <v>33460</v>
      </c>
      <c r="R118" s="9">
        <v>33540</v>
      </c>
      <c r="S118" s="9">
        <v>32600</v>
      </c>
      <c r="T118" s="9">
        <v>32050</v>
      </c>
      <c r="U118" s="9">
        <v>31500</v>
      </c>
      <c r="V118" s="9">
        <v>30710</v>
      </c>
      <c r="W118" s="9">
        <v>30210</v>
      </c>
      <c r="X118" s="9">
        <v>30590</v>
      </c>
      <c r="Y118" s="9">
        <v>30920</v>
      </c>
      <c r="Z118" s="9">
        <v>31210</v>
      </c>
      <c r="AA118" s="9">
        <v>31490</v>
      </c>
      <c r="AB118" s="9">
        <v>31760</v>
      </c>
      <c r="AC118" s="9">
        <v>31990</v>
      </c>
      <c r="AD118" s="9">
        <v>32200</v>
      </c>
      <c r="AE118" s="9">
        <v>32380</v>
      </c>
      <c r="AF118" s="9">
        <v>32520</v>
      </c>
      <c r="AG118" s="9">
        <v>32620</v>
      </c>
      <c r="AH118" s="9">
        <v>32700</v>
      </c>
      <c r="AI118" s="9">
        <v>32740</v>
      </c>
      <c r="AJ118" s="9">
        <v>32740</v>
      </c>
      <c r="AK118" s="9">
        <v>32710</v>
      </c>
      <c r="AL118" s="9">
        <v>32660</v>
      </c>
      <c r="AM118" s="9">
        <v>32580</v>
      </c>
      <c r="AN118" s="9">
        <v>32500</v>
      </c>
      <c r="AO118" s="9">
        <v>32410</v>
      </c>
      <c r="AP118" s="9">
        <v>32340</v>
      </c>
      <c r="AQ118" s="9">
        <v>32280</v>
      </c>
      <c r="AR118" s="9">
        <v>32250</v>
      </c>
      <c r="AS118" s="9">
        <v>32250</v>
      </c>
      <c r="AT118" s="9">
        <v>32270</v>
      </c>
      <c r="AU118" s="9">
        <v>32300</v>
      </c>
      <c r="AV118" s="9">
        <v>32340</v>
      </c>
      <c r="AW118" s="9">
        <v>32390</v>
      </c>
      <c r="AX118" s="9">
        <v>32430</v>
      </c>
      <c r="AY118" s="9">
        <v>32470</v>
      </c>
      <c r="AZ118" s="9">
        <v>32500</v>
      </c>
      <c r="BA118" s="9">
        <v>32520</v>
      </c>
      <c r="BB118" s="9">
        <v>32540</v>
      </c>
      <c r="BC118" s="9">
        <v>32550</v>
      </c>
      <c r="BD118" s="9">
        <v>32560</v>
      </c>
      <c r="BE118" s="9">
        <v>32580</v>
      </c>
      <c r="BF118" s="9">
        <v>32610</v>
      </c>
      <c r="BG118" s="9">
        <v>32650</v>
      </c>
      <c r="BH118" s="9">
        <v>32710</v>
      </c>
      <c r="BI118" s="9">
        <v>32770</v>
      </c>
      <c r="BJ118" s="9">
        <v>32840</v>
      </c>
      <c r="BK118" s="9">
        <v>32910</v>
      </c>
      <c r="BL118" s="9">
        <v>32990</v>
      </c>
      <c r="BM118" s="9">
        <v>33050</v>
      </c>
      <c r="BN118" s="9">
        <v>33110</v>
      </c>
      <c r="BO118" s="9">
        <v>33160</v>
      </c>
    </row>
    <row r="119" spans="3:67" x14ac:dyDescent="0.2">
      <c r="C119" s="3">
        <v>10</v>
      </c>
      <c r="E119" s="9">
        <v>31100</v>
      </c>
      <c r="F119" s="9">
        <v>30190</v>
      </c>
      <c r="G119" s="9">
        <v>30480</v>
      </c>
      <c r="H119" s="9">
        <v>30320</v>
      </c>
      <c r="I119" s="9">
        <v>31360</v>
      </c>
      <c r="J119" s="9">
        <v>30720</v>
      </c>
      <c r="K119" s="9">
        <v>29220</v>
      </c>
      <c r="L119" s="9">
        <v>29330</v>
      </c>
      <c r="M119" s="9">
        <v>29910</v>
      </c>
      <c r="N119" s="9">
        <v>29880</v>
      </c>
      <c r="O119" s="9">
        <v>30460</v>
      </c>
      <c r="P119" s="9">
        <v>32010</v>
      </c>
      <c r="Q119" s="9">
        <v>33260</v>
      </c>
      <c r="R119" s="9">
        <v>33470</v>
      </c>
      <c r="S119" s="9">
        <v>33550</v>
      </c>
      <c r="T119" s="9">
        <v>32610</v>
      </c>
      <c r="U119" s="9">
        <v>32060</v>
      </c>
      <c r="V119" s="9">
        <v>31510</v>
      </c>
      <c r="W119" s="9">
        <v>30730</v>
      </c>
      <c r="X119" s="9">
        <v>30220</v>
      </c>
      <c r="Y119" s="9">
        <v>30610</v>
      </c>
      <c r="Z119" s="9">
        <v>30940</v>
      </c>
      <c r="AA119" s="9">
        <v>31220</v>
      </c>
      <c r="AB119" s="9">
        <v>31500</v>
      </c>
      <c r="AC119" s="9">
        <v>31770</v>
      </c>
      <c r="AD119" s="9">
        <v>32010</v>
      </c>
      <c r="AE119" s="9">
        <v>32220</v>
      </c>
      <c r="AF119" s="9">
        <v>32390</v>
      </c>
      <c r="AG119" s="9">
        <v>32530</v>
      </c>
      <c r="AH119" s="9">
        <v>32640</v>
      </c>
      <c r="AI119" s="9">
        <v>32710</v>
      </c>
      <c r="AJ119" s="9">
        <v>32750</v>
      </c>
      <c r="AK119" s="9">
        <v>32760</v>
      </c>
      <c r="AL119" s="9">
        <v>32730</v>
      </c>
      <c r="AM119" s="9">
        <v>32670</v>
      </c>
      <c r="AN119" s="9">
        <v>32600</v>
      </c>
      <c r="AO119" s="9">
        <v>32510</v>
      </c>
      <c r="AP119" s="9">
        <v>32430</v>
      </c>
      <c r="AQ119" s="9">
        <v>32350</v>
      </c>
      <c r="AR119" s="9">
        <v>32300</v>
      </c>
      <c r="AS119" s="9">
        <v>32270</v>
      </c>
      <c r="AT119" s="9">
        <v>32270</v>
      </c>
      <c r="AU119" s="9">
        <v>32280</v>
      </c>
      <c r="AV119" s="9">
        <v>32310</v>
      </c>
      <c r="AW119" s="9">
        <v>32360</v>
      </c>
      <c r="AX119" s="9">
        <v>32400</v>
      </c>
      <c r="AY119" s="9">
        <v>32450</v>
      </c>
      <c r="AZ119" s="9">
        <v>32480</v>
      </c>
      <c r="BA119" s="9">
        <v>32520</v>
      </c>
      <c r="BB119" s="9">
        <v>32540</v>
      </c>
      <c r="BC119" s="9">
        <v>32550</v>
      </c>
      <c r="BD119" s="9">
        <v>32570</v>
      </c>
      <c r="BE119" s="9">
        <v>32580</v>
      </c>
      <c r="BF119" s="9">
        <v>32600</v>
      </c>
      <c r="BG119" s="9">
        <v>32630</v>
      </c>
      <c r="BH119" s="9">
        <v>32670</v>
      </c>
      <c r="BI119" s="9">
        <v>32720</v>
      </c>
      <c r="BJ119" s="9">
        <v>32790</v>
      </c>
      <c r="BK119" s="9">
        <v>32860</v>
      </c>
      <c r="BL119" s="9">
        <v>32930</v>
      </c>
      <c r="BM119" s="9">
        <v>33000</v>
      </c>
      <c r="BN119" s="9">
        <v>33070</v>
      </c>
      <c r="BO119" s="9">
        <v>33130</v>
      </c>
    </row>
    <row r="120" spans="3:67" x14ac:dyDescent="0.2">
      <c r="C120" s="3">
        <v>11</v>
      </c>
      <c r="E120" s="9">
        <v>31570</v>
      </c>
      <c r="F120" s="9">
        <v>31310</v>
      </c>
      <c r="G120" s="9">
        <v>30420</v>
      </c>
      <c r="H120" s="9">
        <v>30690</v>
      </c>
      <c r="I120" s="9">
        <v>30620</v>
      </c>
      <c r="J120" s="9">
        <v>31500</v>
      </c>
      <c r="K120" s="9">
        <v>30790</v>
      </c>
      <c r="L120" s="9">
        <v>29240</v>
      </c>
      <c r="M120" s="9">
        <v>29430</v>
      </c>
      <c r="N120" s="9">
        <v>30170</v>
      </c>
      <c r="O120" s="9">
        <v>30020</v>
      </c>
      <c r="P120" s="9">
        <v>30470</v>
      </c>
      <c r="Q120" s="9">
        <v>32030</v>
      </c>
      <c r="R120" s="9">
        <v>33280</v>
      </c>
      <c r="S120" s="9">
        <v>33490</v>
      </c>
      <c r="T120" s="9">
        <v>33560</v>
      </c>
      <c r="U120" s="9">
        <v>32630</v>
      </c>
      <c r="V120" s="9">
        <v>32080</v>
      </c>
      <c r="W120" s="9">
        <v>31530</v>
      </c>
      <c r="X120" s="9">
        <v>30740</v>
      </c>
      <c r="Y120" s="9">
        <v>30240</v>
      </c>
      <c r="Z120" s="9">
        <v>30620</v>
      </c>
      <c r="AA120" s="9">
        <v>30950</v>
      </c>
      <c r="AB120" s="9">
        <v>31240</v>
      </c>
      <c r="AC120" s="9">
        <v>31520</v>
      </c>
      <c r="AD120" s="9">
        <v>31790</v>
      </c>
      <c r="AE120" s="9">
        <v>32020</v>
      </c>
      <c r="AF120" s="9">
        <v>32230</v>
      </c>
      <c r="AG120" s="9">
        <v>32410</v>
      </c>
      <c r="AH120" s="9">
        <v>32550</v>
      </c>
      <c r="AI120" s="9">
        <v>32660</v>
      </c>
      <c r="AJ120" s="9">
        <v>32730</v>
      </c>
      <c r="AK120" s="9">
        <v>32770</v>
      </c>
      <c r="AL120" s="9">
        <v>32770</v>
      </c>
      <c r="AM120" s="9">
        <v>32750</v>
      </c>
      <c r="AN120" s="9">
        <v>32690</v>
      </c>
      <c r="AO120" s="9">
        <v>32610</v>
      </c>
      <c r="AP120" s="9">
        <v>32530</v>
      </c>
      <c r="AQ120" s="9">
        <v>32440</v>
      </c>
      <c r="AR120" s="9">
        <v>32370</v>
      </c>
      <c r="AS120" s="9">
        <v>32310</v>
      </c>
      <c r="AT120" s="9">
        <v>32290</v>
      </c>
      <c r="AU120" s="9">
        <v>32280</v>
      </c>
      <c r="AV120" s="9">
        <v>32300</v>
      </c>
      <c r="AW120" s="9">
        <v>32330</v>
      </c>
      <c r="AX120" s="9">
        <v>32370</v>
      </c>
      <c r="AY120" s="9">
        <v>32420</v>
      </c>
      <c r="AZ120" s="9">
        <v>32460</v>
      </c>
      <c r="BA120" s="9">
        <v>32500</v>
      </c>
      <c r="BB120" s="9">
        <v>32530</v>
      </c>
      <c r="BC120" s="9">
        <v>32560</v>
      </c>
      <c r="BD120" s="9">
        <v>32570</v>
      </c>
      <c r="BE120" s="9">
        <v>32580</v>
      </c>
      <c r="BF120" s="9">
        <v>32600</v>
      </c>
      <c r="BG120" s="9">
        <v>32620</v>
      </c>
      <c r="BH120" s="9">
        <v>32650</v>
      </c>
      <c r="BI120" s="9">
        <v>32690</v>
      </c>
      <c r="BJ120" s="9">
        <v>32740</v>
      </c>
      <c r="BK120" s="9">
        <v>32800</v>
      </c>
      <c r="BL120" s="9">
        <v>32870</v>
      </c>
      <c r="BM120" s="9">
        <v>32950</v>
      </c>
      <c r="BN120" s="9">
        <v>33020</v>
      </c>
      <c r="BO120" s="9">
        <v>33090</v>
      </c>
    </row>
    <row r="121" spans="3:67" x14ac:dyDescent="0.2">
      <c r="C121" s="3">
        <v>12</v>
      </c>
      <c r="E121" s="9">
        <v>31640</v>
      </c>
      <c r="F121" s="9">
        <v>31640</v>
      </c>
      <c r="G121" s="9">
        <v>31450</v>
      </c>
      <c r="H121" s="9">
        <v>30620</v>
      </c>
      <c r="I121" s="9">
        <v>30980</v>
      </c>
      <c r="J121" s="9">
        <v>30730</v>
      </c>
      <c r="K121" s="9">
        <v>31640</v>
      </c>
      <c r="L121" s="9">
        <v>30870</v>
      </c>
      <c r="M121" s="9">
        <v>29290</v>
      </c>
      <c r="N121" s="9">
        <v>29680</v>
      </c>
      <c r="O121" s="9">
        <v>30310</v>
      </c>
      <c r="P121" s="9">
        <v>30040</v>
      </c>
      <c r="Q121" s="9">
        <v>30490</v>
      </c>
      <c r="R121" s="9">
        <v>32050</v>
      </c>
      <c r="S121" s="9">
        <v>33300</v>
      </c>
      <c r="T121" s="9">
        <v>33510</v>
      </c>
      <c r="U121" s="9">
        <v>33580</v>
      </c>
      <c r="V121" s="9">
        <v>32640</v>
      </c>
      <c r="W121" s="9">
        <v>32090</v>
      </c>
      <c r="X121" s="9">
        <v>31540</v>
      </c>
      <c r="Y121" s="9">
        <v>30760</v>
      </c>
      <c r="Z121" s="9">
        <v>30250</v>
      </c>
      <c r="AA121" s="9">
        <v>30640</v>
      </c>
      <c r="AB121" s="9">
        <v>30970</v>
      </c>
      <c r="AC121" s="9">
        <v>31260</v>
      </c>
      <c r="AD121" s="9">
        <v>31540</v>
      </c>
      <c r="AE121" s="9">
        <v>31810</v>
      </c>
      <c r="AF121" s="9">
        <v>32040</v>
      </c>
      <c r="AG121" s="9">
        <v>32250</v>
      </c>
      <c r="AH121" s="9">
        <v>32430</v>
      </c>
      <c r="AI121" s="9">
        <v>32570</v>
      </c>
      <c r="AJ121" s="9">
        <v>32670</v>
      </c>
      <c r="AK121" s="9">
        <v>32750</v>
      </c>
      <c r="AL121" s="9">
        <v>32790</v>
      </c>
      <c r="AM121" s="9">
        <v>32790</v>
      </c>
      <c r="AN121" s="9">
        <v>32770</v>
      </c>
      <c r="AO121" s="9">
        <v>32710</v>
      </c>
      <c r="AP121" s="9">
        <v>32640</v>
      </c>
      <c r="AQ121" s="9">
        <v>32550</v>
      </c>
      <c r="AR121" s="9">
        <v>32460</v>
      </c>
      <c r="AS121" s="9">
        <v>32390</v>
      </c>
      <c r="AT121" s="9">
        <v>32330</v>
      </c>
      <c r="AU121" s="9">
        <v>32310</v>
      </c>
      <c r="AV121" s="9">
        <v>32300</v>
      </c>
      <c r="AW121" s="9">
        <v>32320</v>
      </c>
      <c r="AX121" s="9">
        <v>32350</v>
      </c>
      <c r="AY121" s="9">
        <v>32400</v>
      </c>
      <c r="AZ121" s="9">
        <v>32440</v>
      </c>
      <c r="BA121" s="9">
        <v>32480</v>
      </c>
      <c r="BB121" s="9">
        <v>32520</v>
      </c>
      <c r="BC121" s="9">
        <v>32550</v>
      </c>
      <c r="BD121" s="9">
        <v>32580</v>
      </c>
      <c r="BE121" s="9">
        <v>32590</v>
      </c>
      <c r="BF121" s="9">
        <v>32600</v>
      </c>
      <c r="BG121" s="9">
        <v>32620</v>
      </c>
      <c r="BH121" s="9">
        <v>32640</v>
      </c>
      <c r="BI121" s="9">
        <v>32670</v>
      </c>
      <c r="BJ121" s="9">
        <v>32710</v>
      </c>
      <c r="BK121" s="9">
        <v>32760</v>
      </c>
      <c r="BL121" s="9">
        <v>32820</v>
      </c>
      <c r="BM121" s="9">
        <v>32900</v>
      </c>
      <c r="BN121" s="9">
        <v>32970</v>
      </c>
      <c r="BO121" s="9">
        <v>33040</v>
      </c>
    </row>
    <row r="122" spans="3:67" x14ac:dyDescent="0.2">
      <c r="C122" s="3">
        <v>13</v>
      </c>
      <c r="E122" s="9">
        <v>32400</v>
      </c>
      <c r="F122" s="9">
        <v>31620</v>
      </c>
      <c r="G122" s="9">
        <v>31620</v>
      </c>
      <c r="H122" s="9">
        <v>31610</v>
      </c>
      <c r="I122" s="9">
        <v>30840</v>
      </c>
      <c r="J122" s="9">
        <v>31190</v>
      </c>
      <c r="K122" s="9">
        <v>30830</v>
      </c>
      <c r="L122" s="9">
        <v>31780</v>
      </c>
      <c r="M122" s="9">
        <v>30950</v>
      </c>
      <c r="N122" s="9">
        <v>29530</v>
      </c>
      <c r="O122" s="9">
        <v>29820</v>
      </c>
      <c r="P122" s="9">
        <v>30330</v>
      </c>
      <c r="Q122" s="9">
        <v>30060</v>
      </c>
      <c r="R122" s="9">
        <v>30520</v>
      </c>
      <c r="S122" s="9">
        <v>32070</v>
      </c>
      <c r="T122" s="9">
        <v>33320</v>
      </c>
      <c r="U122" s="9">
        <v>33530</v>
      </c>
      <c r="V122" s="9">
        <v>33610</v>
      </c>
      <c r="W122" s="9">
        <v>32670</v>
      </c>
      <c r="X122" s="9">
        <v>32120</v>
      </c>
      <c r="Y122" s="9">
        <v>31570</v>
      </c>
      <c r="Z122" s="9">
        <v>30790</v>
      </c>
      <c r="AA122" s="9">
        <v>30280</v>
      </c>
      <c r="AB122" s="9">
        <v>30670</v>
      </c>
      <c r="AC122" s="9">
        <v>31000</v>
      </c>
      <c r="AD122" s="9">
        <v>31280</v>
      </c>
      <c r="AE122" s="9">
        <v>31560</v>
      </c>
      <c r="AF122" s="9">
        <v>31830</v>
      </c>
      <c r="AG122" s="9">
        <v>32070</v>
      </c>
      <c r="AH122" s="9">
        <v>32280</v>
      </c>
      <c r="AI122" s="9">
        <v>32460</v>
      </c>
      <c r="AJ122" s="9">
        <v>32600</v>
      </c>
      <c r="AK122" s="9">
        <v>32700</v>
      </c>
      <c r="AL122" s="9">
        <v>32780</v>
      </c>
      <c r="AM122" s="9">
        <v>32820</v>
      </c>
      <c r="AN122" s="9">
        <v>32820</v>
      </c>
      <c r="AO122" s="9">
        <v>32790</v>
      </c>
      <c r="AP122" s="9">
        <v>32740</v>
      </c>
      <c r="AQ122" s="9">
        <v>32660</v>
      </c>
      <c r="AR122" s="9">
        <v>32580</v>
      </c>
      <c r="AS122" s="9">
        <v>32490</v>
      </c>
      <c r="AT122" s="9">
        <v>32420</v>
      </c>
      <c r="AU122" s="9">
        <v>32360</v>
      </c>
      <c r="AV122" s="9">
        <v>32340</v>
      </c>
      <c r="AW122" s="9">
        <v>32330</v>
      </c>
      <c r="AX122" s="9">
        <v>32350</v>
      </c>
      <c r="AY122" s="9">
        <v>32380</v>
      </c>
      <c r="AZ122" s="9">
        <v>32430</v>
      </c>
      <c r="BA122" s="9">
        <v>32470</v>
      </c>
      <c r="BB122" s="9">
        <v>32510</v>
      </c>
      <c r="BC122" s="9">
        <v>32550</v>
      </c>
      <c r="BD122" s="9">
        <v>32580</v>
      </c>
      <c r="BE122" s="9">
        <v>32610</v>
      </c>
      <c r="BF122" s="9">
        <v>32620</v>
      </c>
      <c r="BG122" s="9">
        <v>32640</v>
      </c>
      <c r="BH122" s="9">
        <v>32650</v>
      </c>
      <c r="BI122" s="9">
        <v>32670</v>
      </c>
      <c r="BJ122" s="9">
        <v>32700</v>
      </c>
      <c r="BK122" s="9">
        <v>32740</v>
      </c>
      <c r="BL122" s="9">
        <v>32790</v>
      </c>
      <c r="BM122" s="9">
        <v>32860</v>
      </c>
      <c r="BN122" s="9">
        <v>32930</v>
      </c>
      <c r="BO122" s="9">
        <v>33000</v>
      </c>
    </row>
    <row r="123" spans="3:67" x14ac:dyDescent="0.2">
      <c r="C123" s="3">
        <v>14</v>
      </c>
      <c r="E123" s="9">
        <v>32800</v>
      </c>
      <c r="F123" s="9">
        <v>32260</v>
      </c>
      <c r="G123" s="9">
        <v>31550</v>
      </c>
      <c r="H123" s="9">
        <v>31640</v>
      </c>
      <c r="I123" s="9">
        <v>31810</v>
      </c>
      <c r="J123" s="9">
        <v>31060</v>
      </c>
      <c r="K123" s="9">
        <v>31400</v>
      </c>
      <c r="L123" s="9">
        <v>30980</v>
      </c>
      <c r="M123" s="9">
        <v>31870</v>
      </c>
      <c r="N123" s="9">
        <v>31180</v>
      </c>
      <c r="O123" s="9">
        <v>29660</v>
      </c>
      <c r="P123" s="9">
        <v>29860</v>
      </c>
      <c r="Q123" s="9">
        <v>30380</v>
      </c>
      <c r="R123" s="9">
        <v>30110</v>
      </c>
      <c r="S123" s="9">
        <v>30560</v>
      </c>
      <c r="T123" s="9">
        <v>32120</v>
      </c>
      <c r="U123" s="9">
        <v>33370</v>
      </c>
      <c r="V123" s="9">
        <v>33580</v>
      </c>
      <c r="W123" s="9">
        <v>33650</v>
      </c>
      <c r="X123" s="9">
        <v>32720</v>
      </c>
      <c r="Y123" s="9">
        <v>32170</v>
      </c>
      <c r="Z123" s="9">
        <v>31620</v>
      </c>
      <c r="AA123" s="9">
        <v>30840</v>
      </c>
      <c r="AB123" s="9">
        <v>30330</v>
      </c>
      <c r="AC123" s="9">
        <v>30720</v>
      </c>
      <c r="AD123" s="9">
        <v>31050</v>
      </c>
      <c r="AE123" s="9">
        <v>31330</v>
      </c>
      <c r="AF123" s="9">
        <v>31610</v>
      </c>
      <c r="AG123" s="9">
        <v>31880</v>
      </c>
      <c r="AH123" s="9">
        <v>32120</v>
      </c>
      <c r="AI123" s="9">
        <v>32330</v>
      </c>
      <c r="AJ123" s="9">
        <v>32500</v>
      </c>
      <c r="AK123" s="9">
        <v>32640</v>
      </c>
      <c r="AL123" s="9">
        <v>32750</v>
      </c>
      <c r="AM123" s="9">
        <v>32820</v>
      </c>
      <c r="AN123" s="9">
        <v>32860</v>
      </c>
      <c r="AO123" s="9">
        <v>32870</v>
      </c>
      <c r="AP123" s="9">
        <v>32840</v>
      </c>
      <c r="AQ123" s="9">
        <v>32790</v>
      </c>
      <c r="AR123" s="9">
        <v>32710</v>
      </c>
      <c r="AS123" s="9">
        <v>32630</v>
      </c>
      <c r="AT123" s="9">
        <v>32540</v>
      </c>
      <c r="AU123" s="9">
        <v>32470</v>
      </c>
      <c r="AV123" s="9">
        <v>32410</v>
      </c>
      <c r="AW123" s="9">
        <v>32380</v>
      </c>
      <c r="AX123" s="9">
        <v>32380</v>
      </c>
      <c r="AY123" s="9">
        <v>32400</v>
      </c>
      <c r="AZ123" s="9">
        <v>32430</v>
      </c>
      <c r="BA123" s="9">
        <v>32470</v>
      </c>
      <c r="BB123" s="9">
        <v>32520</v>
      </c>
      <c r="BC123" s="9">
        <v>32560</v>
      </c>
      <c r="BD123" s="9">
        <v>32600</v>
      </c>
      <c r="BE123" s="9">
        <v>32630</v>
      </c>
      <c r="BF123" s="9">
        <v>32650</v>
      </c>
      <c r="BG123" s="9">
        <v>32670</v>
      </c>
      <c r="BH123" s="9">
        <v>32680</v>
      </c>
      <c r="BI123" s="9">
        <v>32700</v>
      </c>
      <c r="BJ123" s="9">
        <v>32720</v>
      </c>
      <c r="BK123" s="9">
        <v>32750</v>
      </c>
      <c r="BL123" s="9">
        <v>32790</v>
      </c>
      <c r="BM123" s="9">
        <v>32840</v>
      </c>
      <c r="BN123" s="9">
        <v>32900</v>
      </c>
      <c r="BO123" s="9">
        <v>32980</v>
      </c>
    </row>
    <row r="124" spans="3:67" x14ac:dyDescent="0.2">
      <c r="C124" s="3">
        <v>15</v>
      </c>
      <c r="E124" s="9">
        <v>33590</v>
      </c>
      <c r="F124" s="9">
        <v>32590</v>
      </c>
      <c r="G124" s="9">
        <v>32100</v>
      </c>
      <c r="H124" s="9">
        <v>31480</v>
      </c>
      <c r="I124" s="9">
        <v>31790</v>
      </c>
      <c r="J124" s="9">
        <v>31950</v>
      </c>
      <c r="K124" s="9">
        <v>31310</v>
      </c>
      <c r="L124" s="9">
        <v>31620</v>
      </c>
      <c r="M124" s="9">
        <v>31180</v>
      </c>
      <c r="N124" s="9">
        <v>32150</v>
      </c>
      <c r="O124" s="9">
        <v>31370</v>
      </c>
      <c r="P124" s="9">
        <v>29770</v>
      </c>
      <c r="Q124" s="9">
        <v>29970</v>
      </c>
      <c r="R124" s="9">
        <v>30490</v>
      </c>
      <c r="S124" s="9">
        <v>30220</v>
      </c>
      <c r="T124" s="9">
        <v>30680</v>
      </c>
      <c r="U124" s="9">
        <v>32230</v>
      </c>
      <c r="V124" s="9">
        <v>33480</v>
      </c>
      <c r="W124" s="9">
        <v>33690</v>
      </c>
      <c r="X124" s="9">
        <v>33760</v>
      </c>
      <c r="Y124" s="9">
        <v>32830</v>
      </c>
      <c r="Z124" s="9">
        <v>32280</v>
      </c>
      <c r="AA124" s="9">
        <v>31730</v>
      </c>
      <c r="AB124" s="9">
        <v>30950</v>
      </c>
      <c r="AC124" s="9">
        <v>30440</v>
      </c>
      <c r="AD124" s="9">
        <v>30830</v>
      </c>
      <c r="AE124" s="9">
        <v>31160</v>
      </c>
      <c r="AF124" s="9">
        <v>31440</v>
      </c>
      <c r="AG124" s="9">
        <v>31720</v>
      </c>
      <c r="AH124" s="9">
        <v>31990</v>
      </c>
      <c r="AI124" s="9">
        <v>32230</v>
      </c>
      <c r="AJ124" s="9">
        <v>32440</v>
      </c>
      <c r="AK124" s="9">
        <v>32620</v>
      </c>
      <c r="AL124" s="9">
        <v>32760</v>
      </c>
      <c r="AM124" s="9">
        <v>32860</v>
      </c>
      <c r="AN124" s="9">
        <v>32940</v>
      </c>
      <c r="AO124" s="9">
        <v>32980</v>
      </c>
      <c r="AP124" s="9">
        <v>32980</v>
      </c>
      <c r="AQ124" s="9">
        <v>32960</v>
      </c>
      <c r="AR124" s="9">
        <v>32900</v>
      </c>
      <c r="AS124" s="9">
        <v>32830</v>
      </c>
      <c r="AT124" s="9">
        <v>32740</v>
      </c>
      <c r="AU124" s="9">
        <v>32650</v>
      </c>
      <c r="AV124" s="9">
        <v>32580</v>
      </c>
      <c r="AW124" s="9">
        <v>32530</v>
      </c>
      <c r="AX124" s="9">
        <v>32500</v>
      </c>
      <c r="AY124" s="9">
        <v>32500</v>
      </c>
      <c r="AZ124" s="9">
        <v>32510</v>
      </c>
      <c r="BA124" s="9">
        <v>32550</v>
      </c>
      <c r="BB124" s="9">
        <v>32590</v>
      </c>
      <c r="BC124" s="9">
        <v>32630</v>
      </c>
      <c r="BD124" s="9">
        <v>32680</v>
      </c>
      <c r="BE124" s="9">
        <v>32720</v>
      </c>
      <c r="BF124" s="9">
        <v>32750</v>
      </c>
      <c r="BG124" s="9">
        <v>32770</v>
      </c>
      <c r="BH124" s="9">
        <v>32790</v>
      </c>
      <c r="BI124" s="9">
        <v>32800</v>
      </c>
      <c r="BJ124" s="9">
        <v>32810</v>
      </c>
      <c r="BK124" s="9">
        <v>32830</v>
      </c>
      <c r="BL124" s="9">
        <v>32860</v>
      </c>
      <c r="BM124" s="9">
        <v>32900</v>
      </c>
      <c r="BN124" s="9">
        <v>32960</v>
      </c>
      <c r="BO124" s="9">
        <v>33020</v>
      </c>
    </row>
    <row r="125" spans="3:67" x14ac:dyDescent="0.2">
      <c r="C125" s="3">
        <v>16</v>
      </c>
      <c r="E125" s="9">
        <v>32610</v>
      </c>
      <c r="F125" s="9">
        <v>33310</v>
      </c>
      <c r="G125" s="9">
        <v>32300</v>
      </c>
      <c r="H125" s="9">
        <v>32050</v>
      </c>
      <c r="I125" s="9">
        <v>31680</v>
      </c>
      <c r="J125" s="9">
        <v>31980</v>
      </c>
      <c r="K125" s="9">
        <v>32180</v>
      </c>
      <c r="L125" s="9">
        <v>31650</v>
      </c>
      <c r="M125" s="9">
        <v>31910</v>
      </c>
      <c r="N125" s="9">
        <v>31570</v>
      </c>
      <c r="O125" s="9">
        <v>32450</v>
      </c>
      <c r="P125" s="9">
        <v>31580</v>
      </c>
      <c r="Q125" s="9">
        <v>29990</v>
      </c>
      <c r="R125" s="9">
        <v>30190</v>
      </c>
      <c r="S125" s="9">
        <v>30700</v>
      </c>
      <c r="T125" s="9">
        <v>30430</v>
      </c>
      <c r="U125" s="9">
        <v>30890</v>
      </c>
      <c r="V125" s="9">
        <v>32440</v>
      </c>
      <c r="W125" s="9">
        <v>33690</v>
      </c>
      <c r="X125" s="9">
        <v>33900</v>
      </c>
      <c r="Y125" s="9">
        <v>33980</v>
      </c>
      <c r="Z125" s="9">
        <v>33040</v>
      </c>
      <c r="AA125" s="9">
        <v>32490</v>
      </c>
      <c r="AB125" s="9">
        <v>31950</v>
      </c>
      <c r="AC125" s="9">
        <v>31170</v>
      </c>
      <c r="AD125" s="9">
        <v>30660</v>
      </c>
      <c r="AE125" s="9">
        <v>31050</v>
      </c>
      <c r="AF125" s="9">
        <v>31380</v>
      </c>
      <c r="AG125" s="9">
        <v>31660</v>
      </c>
      <c r="AH125" s="9">
        <v>31940</v>
      </c>
      <c r="AI125" s="9">
        <v>32210</v>
      </c>
      <c r="AJ125" s="9">
        <v>32450</v>
      </c>
      <c r="AK125" s="9">
        <v>32660</v>
      </c>
      <c r="AL125" s="9">
        <v>32840</v>
      </c>
      <c r="AM125" s="9">
        <v>32980</v>
      </c>
      <c r="AN125" s="9">
        <v>33080</v>
      </c>
      <c r="AO125" s="9">
        <v>33160</v>
      </c>
      <c r="AP125" s="9">
        <v>33200</v>
      </c>
      <c r="AQ125" s="9">
        <v>33200</v>
      </c>
      <c r="AR125" s="9">
        <v>33180</v>
      </c>
      <c r="AS125" s="9">
        <v>33120</v>
      </c>
      <c r="AT125" s="9">
        <v>33050</v>
      </c>
      <c r="AU125" s="9">
        <v>32960</v>
      </c>
      <c r="AV125" s="9">
        <v>32880</v>
      </c>
      <c r="AW125" s="9">
        <v>32800</v>
      </c>
      <c r="AX125" s="9">
        <v>32750</v>
      </c>
      <c r="AY125" s="9">
        <v>32720</v>
      </c>
      <c r="AZ125" s="9">
        <v>32720</v>
      </c>
      <c r="BA125" s="9">
        <v>32730</v>
      </c>
      <c r="BB125" s="9">
        <v>32770</v>
      </c>
      <c r="BC125" s="9">
        <v>32810</v>
      </c>
      <c r="BD125" s="9">
        <v>32860</v>
      </c>
      <c r="BE125" s="9">
        <v>32900</v>
      </c>
      <c r="BF125" s="9">
        <v>32940</v>
      </c>
      <c r="BG125" s="9">
        <v>32970</v>
      </c>
      <c r="BH125" s="9">
        <v>32990</v>
      </c>
      <c r="BI125" s="9">
        <v>33010</v>
      </c>
      <c r="BJ125" s="9">
        <v>33020</v>
      </c>
      <c r="BK125" s="9">
        <v>33040</v>
      </c>
      <c r="BL125" s="9">
        <v>33060</v>
      </c>
      <c r="BM125" s="9">
        <v>33090</v>
      </c>
      <c r="BN125" s="9">
        <v>33130</v>
      </c>
      <c r="BO125" s="9">
        <v>33180</v>
      </c>
    </row>
    <row r="126" spans="3:67" x14ac:dyDescent="0.2">
      <c r="C126" s="3">
        <v>17</v>
      </c>
      <c r="E126" s="9">
        <v>31820</v>
      </c>
      <c r="F126" s="9">
        <v>32260</v>
      </c>
      <c r="G126" s="9">
        <v>33160</v>
      </c>
      <c r="H126" s="9">
        <v>32180</v>
      </c>
      <c r="I126" s="9">
        <v>32210</v>
      </c>
      <c r="J126" s="9">
        <v>31800</v>
      </c>
      <c r="K126" s="9">
        <v>32120</v>
      </c>
      <c r="L126" s="9">
        <v>32430</v>
      </c>
      <c r="M126" s="9">
        <v>32040</v>
      </c>
      <c r="N126" s="9">
        <v>32330</v>
      </c>
      <c r="O126" s="9">
        <v>31890</v>
      </c>
      <c r="P126" s="9">
        <v>32650</v>
      </c>
      <c r="Q126" s="9">
        <v>31790</v>
      </c>
      <c r="R126" s="9">
        <v>30190</v>
      </c>
      <c r="S126" s="9">
        <v>30390</v>
      </c>
      <c r="T126" s="9">
        <v>30910</v>
      </c>
      <c r="U126" s="9">
        <v>30640</v>
      </c>
      <c r="V126" s="9">
        <v>31100</v>
      </c>
      <c r="W126" s="9">
        <v>32650</v>
      </c>
      <c r="X126" s="9">
        <v>33890</v>
      </c>
      <c r="Y126" s="9">
        <v>34110</v>
      </c>
      <c r="Z126" s="9">
        <v>34180</v>
      </c>
      <c r="AA126" s="9">
        <v>33250</v>
      </c>
      <c r="AB126" s="9">
        <v>32700</v>
      </c>
      <c r="AC126" s="9">
        <v>32150</v>
      </c>
      <c r="AD126" s="9">
        <v>31370</v>
      </c>
      <c r="AE126" s="9">
        <v>30870</v>
      </c>
      <c r="AF126" s="9">
        <v>31250</v>
      </c>
      <c r="AG126" s="9">
        <v>31580</v>
      </c>
      <c r="AH126" s="9">
        <v>31870</v>
      </c>
      <c r="AI126" s="9">
        <v>32150</v>
      </c>
      <c r="AJ126" s="9">
        <v>32420</v>
      </c>
      <c r="AK126" s="9">
        <v>32660</v>
      </c>
      <c r="AL126" s="9">
        <v>32870</v>
      </c>
      <c r="AM126" s="9">
        <v>33040</v>
      </c>
      <c r="AN126" s="9">
        <v>33180</v>
      </c>
      <c r="AO126" s="9">
        <v>33290</v>
      </c>
      <c r="AP126" s="9">
        <v>33360</v>
      </c>
      <c r="AQ126" s="9">
        <v>33400</v>
      </c>
      <c r="AR126" s="9">
        <v>33410</v>
      </c>
      <c r="AS126" s="9">
        <v>33380</v>
      </c>
      <c r="AT126" s="9">
        <v>33330</v>
      </c>
      <c r="AU126" s="9">
        <v>33260</v>
      </c>
      <c r="AV126" s="9">
        <v>33170</v>
      </c>
      <c r="AW126" s="9">
        <v>33090</v>
      </c>
      <c r="AX126" s="9">
        <v>33010</v>
      </c>
      <c r="AY126" s="9">
        <v>32960</v>
      </c>
      <c r="AZ126" s="9">
        <v>32930</v>
      </c>
      <c r="BA126" s="9">
        <v>32930</v>
      </c>
      <c r="BB126" s="9">
        <v>32940</v>
      </c>
      <c r="BC126" s="9">
        <v>32980</v>
      </c>
      <c r="BD126" s="9">
        <v>33020</v>
      </c>
      <c r="BE126" s="9">
        <v>33070</v>
      </c>
      <c r="BF126" s="9">
        <v>33110</v>
      </c>
      <c r="BG126" s="9">
        <v>33150</v>
      </c>
      <c r="BH126" s="9">
        <v>33180</v>
      </c>
      <c r="BI126" s="9">
        <v>33200</v>
      </c>
      <c r="BJ126" s="9">
        <v>33220</v>
      </c>
      <c r="BK126" s="9">
        <v>33230</v>
      </c>
      <c r="BL126" s="9">
        <v>33250</v>
      </c>
      <c r="BM126" s="9">
        <v>33270</v>
      </c>
      <c r="BN126" s="9">
        <v>33300</v>
      </c>
      <c r="BO126" s="9">
        <v>33340</v>
      </c>
    </row>
    <row r="127" spans="3:67" x14ac:dyDescent="0.2">
      <c r="C127" s="3">
        <v>18</v>
      </c>
      <c r="E127" s="9">
        <v>31140</v>
      </c>
      <c r="F127" s="9">
        <v>31370</v>
      </c>
      <c r="G127" s="9">
        <v>31770</v>
      </c>
      <c r="H127" s="9">
        <v>32780</v>
      </c>
      <c r="I127" s="9">
        <v>32130</v>
      </c>
      <c r="J127" s="9">
        <v>32140</v>
      </c>
      <c r="K127" s="9">
        <v>31760</v>
      </c>
      <c r="L127" s="9">
        <v>32160</v>
      </c>
      <c r="M127" s="9">
        <v>32930</v>
      </c>
      <c r="N127" s="9">
        <v>32850</v>
      </c>
      <c r="O127" s="9">
        <v>32860</v>
      </c>
      <c r="P127" s="9">
        <v>32140</v>
      </c>
      <c r="Q127" s="9">
        <v>32910</v>
      </c>
      <c r="R127" s="9">
        <v>32040</v>
      </c>
      <c r="S127" s="9">
        <v>30450</v>
      </c>
      <c r="T127" s="9">
        <v>30650</v>
      </c>
      <c r="U127" s="9">
        <v>31160</v>
      </c>
      <c r="V127" s="9">
        <v>30900</v>
      </c>
      <c r="W127" s="9">
        <v>31350</v>
      </c>
      <c r="X127" s="9">
        <v>32910</v>
      </c>
      <c r="Y127" s="9">
        <v>34150</v>
      </c>
      <c r="Z127" s="9">
        <v>34370</v>
      </c>
      <c r="AA127" s="9">
        <v>34440</v>
      </c>
      <c r="AB127" s="9">
        <v>33510</v>
      </c>
      <c r="AC127" s="9">
        <v>32960</v>
      </c>
      <c r="AD127" s="9">
        <v>32410</v>
      </c>
      <c r="AE127" s="9">
        <v>31630</v>
      </c>
      <c r="AF127" s="9">
        <v>31130</v>
      </c>
      <c r="AG127" s="9">
        <v>31520</v>
      </c>
      <c r="AH127" s="9">
        <v>31850</v>
      </c>
      <c r="AI127" s="9">
        <v>32130</v>
      </c>
      <c r="AJ127" s="9">
        <v>32410</v>
      </c>
      <c r="AK127" s="9">
        <v>32680</v>
      </c>
      <c r="AL127" s="9">
        <v>32920</v>
      </c>
      <c r="AM127" s="9">
        <v>33130</v>
      </c>
      <c r="AN127" s="9">
        <v>33310</v>
      </c>
      <c r="AO127" s="9">
        <v>33450</v>
      </c>
      <c r="AP127" s="9">
        <v>33550</v>
      </c>
      <c r="AQ127" s="9">
        <v>33630</v>
      </c>
      <c r="AR127" s="9">
        <v>33670</v>
      </c>
      <c r="AS127" s="9">
        <v>33670</v>
      </c>
      <c r="AT127" s="9">
        <v>33650</v>
      </c>
      <c r="AU127" s="9">
        <v>33590</v>
      </c>
      <c r="AV127" s="9">
        <v>33520</v>
      </c>
      <c r="AW127" s="9">
        <v>33440</v>
      </c>
      <c r="AX127" s="9">
        <v>33350</v>
      </c>
      <c r="AY127" s="9">
        <v>33280</v>
      </c>
      <c r="AZ127" s="9">
        <v>33220</v>
      </c>
      <c r="BA127" s="9">
        <v>33200</v>
      </c>
      <c r="BB127" s="9">
        <v>33190</v>
      </c>
      <c r="BC127" s="9">
        <v>33210</v>
      </c>
      <c r="BD127" s="9">
        <v>33240</v>
      </c>
      <c r="BE127" s="9">
        <v>33290</v>
      </c>
      <c r="BF127" s="9">
        <v>33330</v>
      </c>
      <c r="BG127" s="9">
        <v>33380</v>
      </c>
      <c r="BH127" s="9">
        <v>33420</v>
      </c>
      <c r="BI127" s="9">
        <v>33450</v>
      </c>
      <c r="BJ127" s="9">
        <v>33470</v>
      </c>
      <c r="BK127" s="9">
        <v>33490</v>
      </c>
      <c r="BL127" s="9">
        <v>33500</v>
      </c>
      <c r="BM127" s="9">
        <v>33520</v>
      </c>
      <c r="BN127" s="9">
        <v>33540</v>
      </c>
      <c r="BO127" s="9">
        <v>33570</v>
      </c>
    </row>
    <row r="128" spans="3:67" x14ac:dyDescent="0.2">
      <c r="C128" s="3">
        <v>19</v>
      </c>
      <c r="E128" s="9">
        <v>30250</v>
      </c>
      <c r="F128" s="9">
        <v>30770</v>
      </c>
      <c r="G128" s="9">
        <v>31170</v>
      </c>
      <c r="H128" s="9">
        <v>31800</v>
      </c>
      <c r="I128" s="9">
        <v>33050</v>
      </c>
      <c r="J128" s="9">
        <v>32460</v>
      </c>
      <c r="K128" s="9">
        <v>32470</v>
      </c>
      <c r="L128" s="9">
        <v>32290</v>
      </c>
      <c r="M128" s="9">
        <v>33370</v>
      </c>
      <c r="N128" s="9">
        <v>34250</v>
      </c>
      <c r="O128" s="9">
        <v>33720</v>
      </c>
      <c r="P128" s="9">
        <v>33290</v>
      </c>
      <c r="Q128" s="9">
        <v>32570</v>
      </c>
      <c r="R128" s="9">
        <v>33340</v>
      </c>
      <c r="S128" s="9">
        <v>32470</v>
      </c>
      <c r="T128" s="9">
        <v>30880</v>
      </c>
      <c r="U128" s="9">
        <v>31080</v>
      </c>
      <c r="V128" s="9">
        <v>31600</v>
      </c>
      <c r="W128" s="9">
        <v>31330</v>
      </c>
      <c r="X128" s="9">
        <v>31790</v>
      </c>
      <c r="Y128" s="9">
        <v>33340</v>
      </c>
      <c r="Z128" s="9">
        <v>34590</v>
      </c>
      <c r="AA128" s="9">
        <v>34800</v>
      </c>
      <c r="AB128" s="9">
        <v>34880</v>
      </c>
      <c r="AC128" s="9">
        <v>33940</v>
      </c>
      <c r="AD128" s="9">
        <v>33390</v>
      </c>
      <c r="AE128" s="9">
        <v>32850</v>
      </c>
      <c r="AF128" s="9">
        <v>32070</v>
      </c>
      <c r="AG128" s="9">
        <v>31560</v>
      </c>
      <c r="AH128" s="9">
        <v>31950</v>
      </c>
      <c r="AI128" s="9">
        <v>32280</v>
      </c>
      <c r="AJ128" s="9">
        <v>32570</v>
      </c>
      <c r="AK128" s="9">
        <v>32850</v>
      </c>
      <c r="AL128" s="9">
        <v>33120</v>
      </c>
      <c r="AM128" s="9">
        <v>33360</v>
      </c>
      <c r="AN128" s="9">
        <v>33570</v>
      </c>
      <c r="AO128" s="9">
        <v>33740</v>
      </c>
      <c r="AP128" s="9">
        <v>33890</v>
      </c>
      <c r="AQ128" s="9">
        <v>33990</v>
      </c>
      <c r="AR128" s="9">
        <v>34070</v>
      </c>
      <c r="AS128" s="9">
        <v>34110</v>
      </c>
      <c r="AT128" s="9">
        <v>34110</v>
      </c>
      <c r="AU128" s="9">
        <v>34090</v>
      </c>
      <c r="AV128" s="9">
        <v>34030</v>
      </c>
      <c r="AW128" s="9">
        <v>33960</v>
      </c>
      <c r="AX128" s="9">
        <v>33880</v>
      </c>
      <c r="AY128" s="9">
        <v>33790</v>
      </c>
      <c r="AZ128" s="9">
        <v>33720</v>
      </c>
      <c r="BA128" s="9">
        <v>33670</v>
      </c>
      <c r="BB128" s="9">
        <v>33640</v>
      </c>
      <c r="BC128" s="9">
        <v>33640</v>
      </c>
      <c r="BD128" s="9">
        <v>33650</v>
      </c>
      <c r="BE128" s="9">
        <v>33690</v>
      </c>
      <c r="BF128" s="9">
        <v>33730</v>
      </c>
      <c r="BG128" s="9">
        <v>33780</v>
      </c>
      <c r="BH128" s="9">
        <v>33820</v>
      </c>
      <c r="BI128" s="9">
        <v>33860</v>
      </c>
      <c r="BJ128" s="9">
        <v>33890</v>
      </c>
      <c r="BK128" s="9">
        <v>33920</v>
      </c>
      <c r="BL128" s="9">
        <v>33930</v>
      </c>
      <c r="BM128" s="9">
        <v>33950</v>
      </c>
      <c r="BN128" s="9">
        <v>33960</v>
      </c>
      <c r="BO128" s="9">
        <v>33980</v>
      </c>
    </row>
    <row r="129" spans="3:67" x14ac:dyDescent="0.2">
      <c r="C129" s="3">
        <v>20</v>
      </c>
      <c r="E129" s="9">
        <v>29830</v>
      </c>
      <c r="F129" s="9">
        <v>29900</v>
      </c>
      <c r="G129" s="9">
        <v>30470</v>
      </c>
      <c r="H129" s="9">
        <v>31180</v>
      </c>
      <c r="I129" s="9">
        <v>32100</v>
      </c>
      <c r="J129" s="9">
        <v>33380</v>
      </c>
      <c r="K129" s="9">
        <v>32580</v>
      </c>
      <c r="L129" s="9">
        <v>32810</v>
      </c>
      <c r="M129" s="9">
        <v>33420</v>
      </c>
      <c r="N129" s="9">
        <v>34650</v>
      </c>
      <c r="O129" s="9">
        <v>35090</v>
      </c>
      <c r="P129" s="9">
        <v>34130</v>
      </c>
      <c r="Q129" s="9">
        <v>33700</v>
      </c>
      <c r="R129" s="9">
        <v>32980</v>
      </c>
      <c r="S129" s="9">
        <v>33750</v>
      </c>
      <c r="T129" s="9">
        <v>32890</v>
      </c>
      <c r="U129" s="9">
        <v>31300</v>
      </c>
      <c r="V129" s="9">
        <v>31490</v>
      </c>
      <c r="W129" s="9">
        <v>32010</v>
      </c>
      <c r="X129" s="9">
        <v>31740</v>
      </c>
      <c r="Y129" s="9">
        <v>32200</v>
      </c>
      <c r="Z129" s="9">
        <v>33750</v>
      </c>
      <c r="AA129" s="9">
        <v>35000</v>
      </c>
      <c r="AB129" s="9">
        <v>35210</v>
      </c>
      <c r="AC129" s="9">
        <v>35290</v>
      </c>
      <c r="AD129" s="9">
        <v>34360</v>
      </c>
      <c r="AE129" s="9">
        <v>33810</v>
      </c>
      <c r="AF129" s="9">
        <v>33260</v>
      </c>
      <c r="AG129" s="9">
        <v>32490</v>
      </c>
      <c r="AH129" s="9">
        <v>31980</v>
      </c>
      <c r="AI129" s="9">
        <v>32370</v>
      </c>
      <c r="AJ129" s="9">
        <v>32700</v>
      </c>
      <c r="AK129" s="9">
        <v>32990</v>
      </c>
      <c r="AL129" s="9">
        <v>33270</v>
      </c>
      <c r="AM129" s="9">
        <v>33540</v>
      </c>
      <c r="AN129" s="9">
        <v>33780</v>
      </c>
      <c r="AO129" s="9">
        <v>33990</v>
      </c>
      <c r="AP129" s="9">
        <v>34160</v>
      </c>
      <c r="AQ129" s="9">
        <v>34310</v>
      </c>
      <c r="AR129" s="9">
        <v>34410</v>
      </c>
      <c r="AS129" s="9">
        <v>34490</v>
      </c>
      <c r="AT129" s="9">
        <v>34530</v>
      </c>
      <c r="AU129" s="9">
        <v>34540</v>
      </c>
      <c r="AV129" s="9">
        <v>34510</v>
      </c>
      <c r="AW129" s="9">
        <v>34460</v>
      </c>
      <c r="AX129" s="9">
        <v>34380</v>
      </c>
      <c r="AY129" s="9">
        <v>34300</v>
      </c>
      <c r="AZ129" s="9">
        <v>34220</v>
      </c>
      <c r="BA129" s="9">
        <v>34140</v>
      </c>
      <c r="BB129" s="9">
        <v>34090</v>
      </c>
      <c r="BC129" s="9">
        <v>34060</v>
      </c>
      <c r="BD129" s="9">
        <v>34060</v>
      </c>
      <c r="BE129" s="9">
        <v>34080</v>
      </c>
      <c r="BF129" s="9">
        <v>34110</v>
      </c>
      <c r="BG129" s="9">
        <v>34160</v>
      </c>
      <c r="BH129" s="9">
        <v>34200</v>
      </c>
      <c r="BI129" s="9">
        <v>34250</v>
      </c>
      <c r="BJ129" s="9">
        <v>34290</v>
      </c>
      <c r="BK129" s="9">
        <v>34320</v>
      </c>
      <c r="BL129" s="9">
        <v>34340</v>
      </c>
      <c r="BM129" s="9">
        <v>34360</v>
      </c>
      <c r="BN129" s="9">
        <v>34370</v>
      </c>
      <c r="BO129" s="9">
        <v>34390</v>
      </c>
    </row>
    <row r="130" spans="3:67" x14ac:dyDescent="0.2">
      <c r="C130" s="3">
        <v>21</v>
      </c>
      <c r="E130" s="9">
        <v>29560</v>
      </c>
      <c r="F130" s="9">
        <v>29170</v>
      </c>
      <c r="G130" s="9">
        <v>29450</v>
      </c>
      <c r="H130" s="9">
        <v>30280</v>
      </c>
      <c r="I130" s="9">
        <v>31170</v>
      </c>
      <c r="J130" s="9">
        <v>32090</v>
      </c>
      <c r="K130" s="9">
        <v>33060</v>
      </c>
      <c r="L130" s="9">
        <v>32490</v>
      </c>
      <c r="M130" s="9">
        <v>33640</v>
      </c>
      <c r="N130" s="9">
        <v>34520</v>
      </c>
      <c r="O130" s="9">
        <v>35300</v>
      </c>
      <c r="P130" s="9">
        <v>35280</v>
      </c>
      <c r="Q130" s="9">
        <v>34320</v>
      </c>
      <c r="R130" s="9">
        <v>33890</v>
      </c>
      <c r="S130" s="9">
        <v>33180</v>
      </c>
      <c r="T130" s="9">
        <v>33940</v>
      </c>
      <c r="U130" s="9">
        <v>33080</v>
      </c>
      <c r="V130" s="9">
        <v>31490</v>
      </c>
      <c r="W130" s="9">
        <v>31690</v>
      </c>
      <c r="X130" s="9">
        <v>32210</v>
      </c>
      <c r="Y130" s="9">
        <v>31940</v>
      </c>
      <c r="Z130" s="9">
        <v>32400</v>
      </c>
      <c r="AA130" s="9">
        <v>33950</v>
      </c>
      <c r="AB130" s="9">
        <v>35190</v>
      </c>
      <c r="AC130" s="9">
        <v>35410</v>
      </c>
      <c r="AD130" s="9">
        <v>35490</v>
      </c>
      <c r="AE130" s="9">
        <v>34550</v>
      </c>
      <c r="AF130" s="9">
        <v>34010</v>
      </c>
      <c r="AG130" s="9">
        <v>33460</v>
      </c>
      <c r="AH130" s="9">
        <v>32690</v>
      </c>
      <c r="AI130" s="9">
        <v>32180</v>
      </c>
      <c r="AJ130" s="9">
        <v>32570</v>
      </c>
      <c r="AK130" s="9">
        <v>32900</v>
      </c>
      <c r="AL130" s="9">
        <v>33190</v>
      </c>
      <c r="AM130" s="9">
        <v>33470</v>
      </c>
      <c r="AN130" s="9">
        <v>33740</v>
      </c>
      <c r="AO130" s="9">
        <v>33980</v>
      </c>
      <c r="AP130" s="9">
        <v>34190</v>
      </c>
      <c r="AQ130" s="9">
        <v>34370</v>
      </c>
      <c r="AR130" s="9">
        <v>34510</v>
      </c>
      <c r="AS130" s="9">
        <v>34620</v>
      </c>
      <c r="AT130" s="9">
        <v>34690</v>
      </c>
      <c r="AU130" s="9">
        <v>34730</v>
      </c>
      <c r="AV130" s="9">
        <v>34740</v>
      </c>
      <c r="AW130" s="9">
        <v>34710</v>
      </c>
      <c r="AX130" s="9">
        <v>34660</v>
      </c>
      <c r="AY130" s="9">
        <v>34590</v>
      </c>
      <c r="AZ130" s="9">
        <v>34500</v>
      </c>
      <c r="BA130" s="9">
        <v>34420</v>
      </c>
      <c r="BB130" s="9">
        <v>34350</v>
      </c>
      <c r="BC130" s="9">
        <v>34290</v>
      </c>
      <c r="BD130" s="9">
        <v>34270</v>
      </c>
      <c r="BE130" s="9">
        <v>34270</v>
      </c>
      <c r="BF130" s="9">
        <v>34280</v>
      </c>
      <c r="BG130" s="9">
        <v>34320</v>
      </c>
      <c r="BH130" s="9">
        <v>34360</v>
      </c>
      <c r="BI130" s="9">
        <v>34410</v>
      </c>
      <c r="BJ130" s="9">
        <v>34450</v>
      </c>
      <c r="BK130" s="9">
        <v>34490</v>
      </c>
      <c r="BL130" s="9">
        <v>34530</v>
      </c>
      <c r="BM130" s="9">
        <v>34550</v>
      </c>
      <c r="BN130" s="9">
        <v>34570</v>
      </c>
      <c r="BO130" s="9">
        <v>34580</v>
      </c>
    </row>
    <row r="131" spans="3:67" x14ac:dyDescent="0.2">
      <c r="C131" s="3">
        <v>22</v>
      </c>
      <c r="E131" s="9">
        <v>29400</v>
      </c>
      <c r="F131" s="9">
        <v>28750</v>
      </c>
      <c r="G131" s="9">
        <v>28560</v>
      </c>
      <c r="H131" s="9">
        <v>29170</v>
      </c>
      <c r="I131" s="9">
        <v>30130</v>
      </c>
      <c r="J131" s="9">
        <v>30860</v>
      </c>
      <c r="K131" s="9">
        <v>31510</v>
      </c>
      <c r="L131" s="9">
        <v>32760</v>
      </c>
      <c r="M131" s="9">
        <v>33320</v>
      </c>
      <c r="N131" s="9">
        <v>34730</v>
      </c>
      <c r="O131" s="9">
        <v>35090</v>
      </c>
      <c r="P131" s="9">
        <v>35330</v>
      </c>
      <c r="Q131" s="9">
        <v>35320</v>
      </c>
      <c r="R131" s="9">
        <v>34360</v>
      </c>
      <c r="S131" s="9">
        <v>33930</v>
      </c>
      <c r="T131" s="9">
        <v>33210</v>
      </c>
      <c r="U131" s="9">
        <v>33980</v>
      </c>
      <c r="V131" s="9">
        <v>33120</v>
      </c>
      <c r="W131" s="9">
        <v>31530</v>
      </c>
      <c r="X131" s="9">
        <v>31730</v>
      </c>
      <c r="Y131" s="9">
        <v>32250</v>
      </c>
      <c r="Z131" s="9">
        <v>31980</v>
      </c>
      <c r="AA131" s="9">
        <v>32440</v>
      </c>
      <c r="AB131" s="9">
        <v>33990</v>
      </c>
      <c r="AC131" s="9">
        <v>35240</v>
      </c>
      <c r="AD131" s="9">
        <v>35450</v>
      </c>
      <c r="AE131" s="9">
        <v>35530</v>
      </c>
      <c r="AF131" s="9">
        <v>34600</v>
      </c>
      <c r="AG131" s="9">
        <v>34050</v>
      </c>
      <c r="AH131" s="9">
        <v>33510</v>
      </c>
      <c r="AI131" s="9">
        <v>32730</v>
      </c>
      <c r="AJ131" s="9">
        <v>32230</v>
      </c>
      <c r="AK131" s="9">
        <v>32620</v>
      </c>
      <c r="AL131" s="9">
        <v>32950</v>
      </c>
      <c r="AM131" s="9">
        <v>33230</v>
      </c>
      <c r="AN131" s="9">
        <v>33510</v>
      </c>
      <c r="AO131" s="9">
        <v>33780</v>
      </c>
      <c r="AP131" s="9">
        <v>34020</v>
      </c>
      <c r="AQ131" s="9">
        <v>34230</v>
      </c>
      <c r="AR131" s="9">
        <v>34410</v>
      </c>
      <c r="AS131" s="9">
        <v>34560</v>
      </c>
      <c r="AT131" s="9">
        <v>34660</v>
      </c>
      <c r="AU131" s="9">
        <v>34740</v>
      </c>
      <c r="AV131" s="9">
        <v>34780</v>
      </c>
      <c r="AW131" s="9">
        <v>34790</v>
      </c>
      <c r="AX131" s="9">
        <v>34760</v>
      </c>
      <c r="AY131" s="9">
        <v>34710</v>
      </c>
      <c r="AZ131" s="9">
        <v>34640</v>
      </c>
      <c r="BA131" s="9">
        <v>34550</v>
      </c>
      <c r="BB131" s="9">
        <v>34470</v>
      </c>
      <c r="BC131" s="9">
        <v>34400</v>
      </c>
      <c r="BD131" s="9">
        <v>34340</v>
      </c>
      <c r="BE131" s="9">
        <v>34320</v>
      </c>
      <c r="BF131" s="9">
        <v>34320</v>
      </c>
      <c r="BG131" s="9">
        <v>34330</v>
      </c>
      <c r="BH131" s="9">
        <v>34370</v>
      </c>
      <c r="BI131" s="9">
        <v>34410</v>
      </c>
      <c r="BJ131" s="9">
        <v>34460</v>
      </c>
      <c r="BK131" s="9">
        <v>34510</v>
      </c>
      <c r="BL131" s="9">
        <v>34550</v>
      </c>
      <c r="BM131" s="9">
        <v>34580</v>
      </c>
      <c r="BN131" s="9">
        <v>34600</v>
      </c>
      <c r="BO131" s="9">
        <v>34620</v>
      </c>
    </row>
    <row r="132" spans="3:67" x14ac:dyDescent="0.2">
      <c r="C132" s="3">
        <v>23</v>
      </c>
      <c r="E132" s="9">
        <v>29090</v>
      </c>
      <c r="F132" s="9">
        <v>28510</v>
      </c>
      <c r="G132" s="9">
        <v>28050</v>
      </c>
      <c r="H132" s="9">
        <v>28280</v>
      </c>
      <c r="I132" s="9">
        <v>28950</v>
      </c>
      <c r="J132" s="9">
        <v>29690</v>
      </c>
      <c r="K132" s="9">
        <v>30250</v>
      </c>
      <c r="L132" s="9">
        <v>31220</v>
      </c>
      <c r="M132" s="9">
        <v>33660</v>
      </c>
      <c r="N132" s="9">
        <v>34540</v>
      </c>
      <c r="O132" s="9">
        <v>35370</v>
      </c>
      <c r="P132" s="9">
        <v>35150</v>
      </c>
      <c r="Q132" s="9">
        <v>35390</v>
      </c>
      <c r="R132" s="9">
        <v>35380</v>
      </c>
      <c r="S132" s="9">
        <v>34420</v>
      </c>
      <c r="T132" s="9">
        <v>33990</v>
      </c>
      <c r="U132" s="9">
        <v>33280</v>
      </c>
      <c r="V132" s="9">
        <v>34040</v>
      </c>
      <c r="W132" s="9">
        <v>33180</v>
      </c>
      <c r="X132" s="9">
        <v>31600</v>
      </c>
      <c r="Y132" s="9">
        <v>31800</v>
      </c>
      <c r="Z132" s="9">
        <v>32310</v>
      </c>
      <c r="AA132" s="9">
        <v>32050</v>
      </c>
      <c r="AB132" s="9">
        <v>32510</v>
      </c>
      <c r="AC132" s="9">
        <v>34060</v>
      </c>
      <c r="AD132" s="9">
        <v>35300</v>
      </c>
      <c r="AE132" s="9">
        <v>35520</v>
      </c>
      <c r="AF132" s="9">
        <v>35590</v>
      </c>
      <c r="AG132" s="9">
        <v>34660</v>
      </c>
      <c r="AH132" s="9">
        <v>34120</v>
      </c>
      <c r="AI132" s="9">
        <v>33580</v>
      </c>
      <c r="AJ132" s="9">
        <v>32800</v>
      </c>
      <c r="AK132" s="9">
        <v>32300</v>
      </c>
      <c r="AL132" s="9">
        <v>32690</v>
      </c>
      <c r="AM132" s="9">
        <v>33020</v>
      </c>
      <c r="AN132" s="9">
        <v>33300</v>
      </c>
      <c r="AO132" s="9">
        <v>33580</v>
      </c>
      <c r="AP132" s="9">
        <v>33860</v>
      </c>
      <c r="AQ132" s="9">
        <v>34100</v>
      </c>
      <c r="AR132" s="9">
        <v>34310</v>
      </c>
      <c r="AS132" s="9">
        <v>34480</v>
      </c>
      <c r="AT132" s="9">
        <v>34630</v>
      </c>
      <c r="AU132" s="9">
        <v>34730</v>
      </c>
      <c r="AV132" s="9">
        <v>34810</v>
      </c>
      <c r="AW132" s="9">
        <v>34850</v>
      </c>
      <c r="AX132" s="9">
        <v>34860</v>
      </c>
      <c r="AY132" s="9">
        <v>34840</v>
      </c>
      <c r="AZ132" s="9">
        <v>34780</v>
      </c>
      <c r="BA132" s="9">
        <v>34710</v>
      </c>
      <c r="BB132" s="9">
        <v>34630</v>
      </c>
      <c r="BC132" s="9">
        <v>34540</v>
      </c>
      <c r="BD132" s="9">
        <v>34470</v>
      </c>
      <c r="BE132" s="9">
        <v>34420</v>
      </c>
      <c r="BF132" s="9">
        <v>34390</v>
      </c>
      <c r="BG132" s="9">
        <v>34390</v>
      </c>
      <c r="BH132" s="9">
        <v>34410</v>
      </c>
      <c r="BI132" s="9">
        <v>34450</v>
      </c>
      <c r="BJ132" s="9">
        <v>34490</v>
      </c>
      <c r="BK132" s="9">
        <v>34540</v>
      </c>
      <c r="BL132" s="9">
        <v>34580</v>
      </c>
      <c r="BM132" s="9">
        <v>34620</v>
      </c>
      <c r="BN132" s="9">
        <v>34660</v>
      </c>
      <c r="BO132" s="9">
        <v>34680</v>
      </c>
    </row>
    <row r="133" spans="3:67" x14ac:dyDescent="0.2">
      <c r="C133" s="3">
        <v>24</v>
      </c>
      <c r="E133" s="9">
        <v>27970</v>
      </c>
      <c r="F133" s="9">
        <v>28320</v>
      </c>
      <c r="G133" s="9">
        <v>27860</v>
      </c>
      <c r="H133" s="9">
        <v>27710</v>
      </c>
      <c r="I133" s="9">
        <v>28100</v>
      </c>
      <c r="J133" s="9">
        <v>28460</v>
      </c>
      <c r="K133" s="9">
        <v>28950</v>
      </c>
      <c r="L133" s="9">
        <v>29910</v>
      </c>
      <c r="M133" s="9">
        <v>32280</v>
      </c>
      <c r="N133" s="9">
        <v>34930</v>
      </c>
      <c r="O133" s="9">
        <v>35230</v>
      </c>
      <c r="P133" s="9">
        <v>35470</v>
      </c>
      <c r="Q133" s="9">
        <v>35250</v>
      </c>
      <c r="R133" s="9">
        <v>35500</v>
      </c>
      <c r="S133" s="9">
        <v>35480</v>
      </c>
      <c r="T133" s="9">
        <v>34530</v>
      </c>
      <c r="U133" s="9">
        <v>34100</v>
      </c>
      <c r="V133" s="9">
        <v>33380</v>
      </c>
      <c r="W133" s="9">
        <v>34150</v>
      </c>
      <c r="X133" s="9">
        <v>33290</v>
      </c>
      <c r="Y133" s="9">
        <v>31700</v>
      </c>
      <c r="Z133" s="9">
        <v>31900</v>
      </c>
      <c r="AA133" s="9">
        <v>32420</v>
      </c>
      <c r="AB133" s="9">
        <v>32160</v>
      </c>
      <c r="AC133" s="9">
        <v>32620</v>
      </c>
      <c r="AD133" s="9">
        <v>34160</v>
      </c>
      <c r="AE133" s="9">
        <v>35410</v>
      </c>
      <c r="AF133" s="9">
        <v>35620</v>
      </c>
      <c r="AG133" s="9">
        <v>35700</v>
      </c>
      <c r="AH133" s="9">
        <v>34770</v>
      </c>
      <c r="AI133" s="9">
        <v>34230</v>
      </c>
      <c r="AJ133" s="9">
        <v>33690</v>
      </c>
      <c r="AK133" s="9">
        <v>32910</v>
      </c>
      <c r="AL133" s="9">
        <v>32410</v>
      </c>
      <c r="AM133" s="9">
        <v>32800</v>
      </c>
      <c r="AN133" s="9">
        <v>33130</v>
      </c>
      <c r="AO133" s="9">
        <v>33410</v>
      </c>
      <c r="AP133" s="9">
        <v>33700</v>
      </c>
      <c r="AQ133" s="9">
        <v>33970</v>
      </c>
      <c r="AR133" s="9">
        <v>34210</v>
      </c>
      <c r="AS133" s="9">
        <v>34420</v>
      </c>
      <c r="AT133" s="9">
        <v>34600</v>
      </c>
      <c r="AU133" s="9">
        <v>34740</v>
      </c>
      <c r="AV133" s="9">
        <v>34850</v>
      </c>
      <c r="AW133" s="9">
        <v>34920</v>
      </c>
      <c r="AX133" s="9">
        <v>34970</v>
      </c>
      <c r="AY133" s="9">
        <v>34970</v>
      </c>
      <c r="AZ133" s="9">
        <v>34950</v>
      </c>
      <c r="BA133" s="9">
        <v>34900</v>
      </c>
      <c r="BB133" s="9">
        <v>34830</v>
      </c>
      <c r="BC133" s="9">
        <v>34740</v>
      </c>
      <c r="BD133" s="9">
        <v>34660</v>
      </c>
      <c r="BE133" s="9">
        <v>34590</v>
      </c>
      <c r="BF133" s="9">
        <v>34540</v>
      </c>
      <c r="BG133" s="9">
        <v>34510</v>
      </c>
      <c r="BH133" s="9">
        <v>34510</v>
      </c>
      <c r="BI133" s="9">
        <v>34530</v>
      </c>
      <c r="BJ133" s="9">
        <v>34560</v>
      </c>
      <c r="BK133" s="9">
        <v>34610</v>
      </c>
      <c r="BL133" s="9">
        <v>34660</v>
      </c>
      <c r="BM133" s="9">
        <v>34700</v>
      </c>
      <c r="BN133" s="9">
        <v>34740</v>
      </c>
      <c r="BO133" s="9">
        <v>34770</v>
      </c>
    </row>
    <row r="134" spans="3:67" x14ac:dyDescent="0.2">
      <c r="C134" s="3">
        <v>25</v>
      </c>
      <c r="E134" s="9">
        <v>26850</v>
      </c>
      <c r="F134" s="9">
        <v>27330</v>
      </c>
      <c r="G134" s="9">
        <v>27690</v>
      </c>
      <c r="H134" s="9">
        <v>27550</v>
      </c>
      <c r="I134" s="9">
        <v>27400</v>
      </c>
      <c r="J134" s="9">
        <v>27490</v>
      </c>
      <c r="K134" s="9">
        <v>27780</v>
      </c>
      <c r="L134" s="9">
        <v>28550</v>
      </c>
      <c r="M134" s="9">
        <v>30920</v>
      </c>
      <c r="N134" s="9">
        <v>33510</v>
      </c>
      <c r="O134" s="9">
        <v>35620</v>
      </c>
      <c r="P134" s="9">
        <v>35360</v>
      </c>
      <c r="Q134" s="9">
        <v>35600</v>
      </c>
      <c r="R134" s="9">
        <v>35380</v>
      </c>
      <c r="S134" s="9">
        <v>35630</v>
      </c>
      <c r="T134" s="9">
        <v>35610</v>
      </c>
      <c r="U134" s="9">
        <v>34660</v>
      </c>
      <c r="V134" s="9">
        <v>34230</v>
      </c>
      <c r="W134" s="9">
        <v>33520</v>
      </c>
      <c r="X134" s="9">
        <v>34280</v>
      </c>
      <c r="Y134" s="9">
        <v>33430</v>
      </c>
      <c r="Z134" s="9">
        <v>31850</v>
      </c>
      <c r="AA134" s="9">
        <v>32050</v>
      </c>
      <c r="AB134" s="9">
        <v>32560</v>
      </c>
      <c r="AC134" s="9">
        <v>32300</v>
      </c>
      <c r="AD134" s="9">
        <v>32760</v>
      </c>
      <c r="AE134" s="9">
        <v>34310</v>
      </c>
      <c r="AF134" s="9">
        <v>35550</v>
      </c>
      <c r="AG134" s="9">
        <v>35760</v>
      </c>
      <c r="AH134" s="9">
        <v>35840</v>
      </c>
      <c r="AI134" s="9">
        <v>34920</v>
      </c>
      <c r="AJ134" s="9">
        <v>34370</v>
      </c>
      <c r="AK134" s="9">
        <v>33830</v>
      </c>
      <c r="AL134" s="9">
        <v>33060</v>
      </c>
      <c r="AM134" s="9">
        <v>32550</v>
      </c>
      <c r="AN134" s="9">
        <v>32940</v>
      </c>
      <c r="AO134" s="9">
        <v>33270</v>
      </c>
      <c r="AP134" s="9">
        <v>33560</v>
      </c>
      <c r="AQ134" s="9">
        <v>33840</v>
      </c>
      <c r="AR134" s="9">
        <v>34110</v>
      </c>
      <c r="AS134" s="9">
        <v>34350</v>
      </c>
      <c r="AT134" s="9">
        <v>34560</v>
      </c>
      <c r="AU134" s="9">
        <v>34740</v>
      </c>
      <c r="AV134" s="9">
        <v>34890</v>
      </c>
      <c r="AW134" s="9">
        <v>35000</v>
      </c>
      <c r="AX134" s="9">
        <v>35070</v>
      </c>
      <c r="AY134" s="9">
        <v>35110</v>
      </c>
      <c r="AZ134" s="9">
        <v>35120</v>
      </c>
      <c r="BA134" s="9">
        <v>35100</v>
      </c>
      <c r="BB134" s="9">
        <v>35050</v>
      </c>
      <c r="BC134" s="9">
        <v>34970</v>
      </c>
      <c r="BD134" s="9">
        <v>34890</v>
      </c>
      <c r="BE134" s="9">
        <v>34810</v>
      </c>
      <c r="BF134" s="9">
        <v>34740</v>
      </c>
      <c r="BG134" s="9">
        <v>34690</v>
      </c>
      <c r="BH134" s="9">
        <v>34660</v>
      </c>
      <c r="BI134" s="9">
        <v>34660</v>
      </c>
      <c r="BJ134" s="9">
        <v>34680</v>
      </c>
      <c r="BK134" s="9">
        <v>34710</v>
      </c>
      <c r="BL134" s="9">
        <v>34760</v>
      </c>
      <c r="BM134" s="9">
        <v>34810</v>
      </c>
      <c r="BN134" s="9">
        <v>34850</v>
      </c>
      <c r="BO134" s="9">
        <v>34890</v>
      </c>
    </row>
    <row r="135" spans="3:67" x14ac:dyDescent="0.2">
      <c r="C135" s="3">
        <v>26</v>
      </c>
      <c r="E135" s="9">
        <v>25810</v>
      </c>
      <c r="F135" s="9">
        <v>26520</v>
      </c>
      <c r="G135" s="9">
        <v>26680</v>
      </c>
      <c r="H135" s="9">
        <v>27300</v>
      </c>
      <c r="I135" s="9">
        <v>27360</v>
      </c>
      <c r="J135" s="9">
        <v>26870</v>
      </c>
      <c r="K135" s="9">
        <v>26900</v>
      </c>
      <c r="L135" s="9">
        <v>27500</v>
      </c>
      <c r="M135" s="9">
        <v>29460</v>
      </c>
      <c r="N135" s="9">
        <v>32090</v>
      </c>
      <c r="O135" s="9">
        <v>34190</v>
      </c>
      <c r="P135" s="9">
        <v>35820</v>
      </c>
      <c r="Q135" s="9">
        <v>35560</v>
      </c>
      <c r="R135" s="9">
        <v>35800</v>
      </c>
      <c r="S135" s="9">
        <v>35590</v>
      </c>
      <c r="T135" s="9">
        <v>35830</v>
      </c>
      <c r="U135" s="9">
        <v>35820</v>
      </c>
      <c r="V135" s="9">
        <v>34870</v>
      </c>
      <c r="W135" s="9">
        <v>34440</v>
      </c>
      <c r="X135" s="9">
        <v>33730</v>
      </c>
      <c r="Y135" s="9">
        <v>34490</v>
      </c>
      <c r="Z135" s="9">
        <v>33630</v>
      </c>
      <c r="AA135" s="9">
        <v>32050</v>
      </c>
      <c r="AB135" s="9">
        <v>32250</v>
      </c>
      <c r="AC135" s="9">
        <v>32770</v>
      </c>
      <c r="AD135" s="9">
        <v>32510</v>
      </c>
      <c r="AE135" s="9">
        <v>32970</v>
      </c>
      <c r="AF135" s="9">
        <v>34510</v>
      </c>
      <c r="AG135" s="9">
        <v>35760</v>
      </c>
      <c r="AH135" s="9">
        <v>35970</v>
      </c>
      <c r="AI135" s="9">
        <v>36050</v>
      </c>
      <c r="AJ135" s="9">
        <v>35130</v>
      </c>
      <c r="AK135" s="9">
        <v>34580</v>
      </c>
      <c r="AL135" s="9">
        <v>34040</v>
      </c>
      <c r="AM135" s="9">
        <v>33270</v>
      </c>
      <c r="AN135" s="9">
        <v>32770</v>
      </c>
      <c r="AO135" s="9">
        <v>33160</v>
      </c>
      <c r="AP135" s="9">
        <v>33490</v>
      </c>
      <c r="AQ135" s="9">
        <v>33770</v>
      </c>
      <c r="AR135" s="9">
        <v>34060</v>
      </c>
      <c r="AS135" s="9">
        <v>34330</v>
      </c>
      <c r="AT135" s="9">
        <v>34570</v>
      </c>
      <c r="AU135" s="9">
        <v>34780</v>
      </c>
      <c r="AV135" s="9">
        <v>34960</v>
      </c>
      <c r="AW135" s="9">
        <v>35100</v>
      </c>
      <c r="AX135" s="9">
        <v>35210</v>
      </c>
      <c r="AY135" s="9">
        <v>35290</v>
      </c>
      <c r="AZ135" s="9">
        <v>35330</v>
      </c>
      <c r="BA135" s="9">
        <v>35340</v>
      </c>
      <c r="BB135" s="9">
        <v>35310</v>
      </c>
      <c r="BC135" s="9">
        <v>35260</v>
      </c>
      <c r="BD135" s="9">
        <v>35190</v>
      </c>
      <c r="BE135" s="9">
        <v>35110</v>
      </c>
      <c r="BF135" s="9">
        <v>35020</v>
      </c>
      <c r="BG135" s="9">
        <v>34950</v>
      </c>
      <c r="BH135" s="9">
        <v>34900</v>
      </c>
      <c r="BI135" s="9">
        <v>34880</v>
      </c>
      <c r="BJ135" s="9">
        <v>34880</v>
      </c>
      <c r="BK135" s="9">
        <v>34890</v>
      </c>
      <c r="BL135" s="9">
        <v>34930</v>
      </c>
      <c r="BM135" s="9">
        <v>34980</v>
      </c>
      <c r="BN135" s="9">
        <v>35020</v>
      </c>
      <c r="BO135" s="9">
        <v>35070</v>
      </c>
    </row>
    <row r="136" spans="3:67" x14ac:dyDescent="0.2">
      <c r="C136" s="3">
        <v>27</v>
      </c>
      <c r="E136" s="9">
        <v>24950</v>
      </c>
      <c r="F136" s="9">
        <v>25500</v>
      </c>
      <c r="G136" s="9">
        <v>26180</v>
      </c>
      <c r="H136" s="9">
        <v>26500</v>
      </c>
      <c r="I136" s="9">
        <v>27160</v>
      </c>
      <c r="J136" s="9">
        <v>26830</v>
      </c>
      <c r="K136" s="9">
        <v>26330</v>
      </c>
      <c r="L136" s="9">
        <v>26710</v>
      </c>
      <c r="M136" s="9">
        <v>28340</v>
      </c>
      <c r="N136" s="9">
        <v>30500</v>
      </c>
      <c r="O136" s="9">
        <v>32710</v>
      </c>
      <c r="P136" s="9">
        <v>34410</v>
      </c>
      <c r="Q136" s="9">
        <v>36030</v>
      </c>
      <c r="R136" s="9">
        <v>35770</v>
      </c>
      <c r="S136" s="9">
        <v>36020</v>
      </c>
      <c r="T136" s="9">
        <v>35800</v>
      </c>
      <c r="U136" s="9">
        <v>36050</v>
      </c>
      <c r="V136" s="9">
        <v>36030</v>
      </c>
      <c r="W136" s="9">
        <v>35080</v>
      </c>
      <c r="X136" s="9">
        <v>34650</v>
      </c>
      <c r="Y136" s="9">
        <v>33940</v>
      </c>
      <c r="Z136" s="9">
        <v>34710</v>
      </c>
      <c r="AA136" s="9">
        <v>33850</v>
      </c>
      <c r="AB136" s="9">
        <v>32270</v>
      </c>
      <c r="AC136" s="9">
        <v>32470</v>
      </c>
      <c r="AD136" s="9">
        <v>32990</v>
      </c>
      <c r="AE136" s="9">
        <v>32730</v>
      </c>
      <c r="AF136" s="9">
        <v>33180</v>
      </c>
      <c r="AG136" s="9">
        <v>34730</v>
      </c>
      <c r="AH136" s="9">
        <v>35980</v>
      </c>
      <c r="AI136" s="9">
        <v>36190</v>
      </c>
      <c r="AJ136" s="9">
        <v>36270</v>
      </c>
      <c r="AK136" s="9">
        <v>35340</v>
      </c>
      <c r="AL136" s="9">
        <v>34800</v>
      </c>
      <c r="AM136" s="9">
        <v>34260</v>
      </c>
      <c r="AN136" s="9">
        <v>33490</v>
      </c>
      <c r="AO136" s="9">
        <v>32990</v>
      </c>
      <c r="AP136" s="9">
        <v>33380</v>
      </c>
      <c r="AQ136" s="9">
        <v>33710</v>
      </c>
      <c r="AR136" s="9">
        <v>33990</v>
      </c>
      <c r="AS136" s="9">
        <v>34280</v>
      </c>
      <c r="AT136" s="9">
        <v>34550</v>
      </c>
      <c r="AU136" s="9">
        <v>34790</v>
      </c>
      <c r="AV136" s="9">
        <v>35000</v>
      </c>
      <c r="AW136" s="9">
        <v>35180</v>
      </c>
      <c r="AX136" s="9">
        <v>35320</v>
      </c>
      <c r="AY136" s="9">
        <v>35430</v>
      </c>
      <c r="AZ136" s="9">
        <v>35510</v>
      </c>
      <c r="BA136" s="9">
        <v>35550</v>
      </c>
      <c r="BB136" s="9">
        <v>35560</v>
      </c>
      <c r="BC136" s="9">
        <v>35540</v>
      </c>
      <c r="BD136" s="9">
        <v>35490</v>
      </c>
      <c r="BE136" s="9">
        <v>35410</v>
      </c>
      <c r="BF136" s="9">
        <v>35330</v>
      </c>
      <c r="BG136" s="9">
        <v>35250</v>
      </c>
      <c r="BH136" s="9">
        <v>35180</v>
      </c>
      <c r="BI136" s="9">
        <v>35130</v>
      </c>
      <c r="BJ136" s="9">
        <v>35100</v>
      </c>
      <c r="BK136" s="9">
        <v>35100</v>
      </c>
      <c r="BL136" s="9">
        <v>35120</v>
      </c>
      <c r="BM136" s="9">
        <v>35160</v>
      </c>
      <c r="BN136" s="9">
        <v>35200</v>
      </c>
      <c r="BO136" s="9">
        <v>35250</v>
      </c>
    </row>
    <row r="137" spans="3:67" x14ac:dyDescent="0.2">
      <c r="C137" s="3">
        <v>28</v>
      </c>
      <c r="E137" s="9">
        <v>24310</v>
      </c>
      <c r="F137" s="9">
        <v>25050</v>
      </c>
      <c r="G137" s="9">
        <v>25420</v>
      </c>
      <c r="H137" s="9">
        <v>26210</v>
      </c>
      <c r="I137" s="9">
        <v>26400</v>
      </c>
      <c r="J137" s="9">
        <v>26740</v>
      </c>
      <c r="K137" s="9">
        <v>26420</v>
      </c>
      <c r="L137" s="9">
        <v>26240</v>
      </c>
      <c r="M137" s="9">
        <v>27610</v>
      </c>
      <c r="N137" s="9">
        <v>29330</v>
      </c>
      <c r="O137" s="9">
        <v>31130</v>
      </c>
      <c r="P137" s="9">
        <v>32980</v>
      </c>
      <c r="Q137" s="9">
        <v>34670</v>
      </c>
      <c r="R137" s="9">
        <v>36290</v>
      </c>
      <c r="S137" s="9">
        <v>36040</v>
      </c>
      <c r="T137" s="9">
        <v>36280</v>
      </c>
      <c r="U137" s="9">
        <v>36060</v>
      </c>
      <c r="V137" s="9">
        <v>36310</v>
      </c>
      <c r="W137" s="9">
        <v>36300</v>
      </c>
      <c r="X137" s="9">
        <v>35350</v>
      </c>
      <c r="Y137" s="9">
        <v>34920</v>
      </c>
      <c r="Z137" s="9">
        <v>34210</v>
      </c>
      <c r="AA137" s="9">
        <v>34970</v>
      </c>
      <c r="AB137" s="9">
        <v>34120</v>
      </c>
      <c r="AC137" s="9">
        <v>32540</v>
      </c>
      <c r="AD137" s="9">
        <v>32740</v>
      </c>
      <c r="AE137" s="9">
        <v>33260</v>
      </c>
      <c r="AF137" s="9">
        <v>33000</v>
      </c>
      <c r="AG137" s="9">
        <v>33460</v>
      </c>
      <c r="AH137" s="9">
        <v>35000</v>
      </c>
      <c r="AI137" s="9">
        <v>36250</v>
      </c>
      <c r="AJ137" s="9">
        <v>36460</v>
      </c>
      <c r="AK137" s="9">
        <v>36540</v>
      </c>
      <c r="AL137" s="9">
        <v>35620</v>
      </c>
      <c r="AM137" s="9">
        <v>35070</v>
      </c>
      <c r="AN137" s="9">
        <v>34530</v>
      </c>
      <c r="AO137" s="9">
        <v>33760</v>
      </c>
      <c r="AP137" s="9">
        <v>33260</v>
      </c>
      <c r="AQ137" s="9">
        <v>33650</v>
      </c>
      <c r="AR137" s="9">
        <v>33980</v>
      </c>
      <c r="AS137" s="9">
        <v>34270</v>
      </c>
      <c r="AT137" s="9">
        <v>34550</v>
      </c>
      <c r="AU137" s="9">
        <v>34820</v>
      </c>
      <c r="AV137" s="9">
        <v>35070</v>
      </c>
      <c r="AW137" s="9">
        <v>35280</v>
      </c>
      <c r="AX137" s="9">
        <v>35460</v>
      </c>
      <c r="AY137" s="9">
        <v>35600</v>
      </c>
      <c r="AZ137" s="9">
        <v>35710</v>
      </c>
      <c r="BA137" s="9">
        <v>35790</v>
      </c>
      <c r="BB137" s="9">
        <v>35830</v>
      </c>
      <c r="BC137" s="9">
        <v>35840</v>
      </c>
      <c r="BD137" s="9">
        <v>35810</v>
      </c>
      <c r="BE137" s="9">
        <v>35760</v>
      </c>
      <c r="BF137" s="9">
        <v>35690</v>
      </c>
      <c r="BG137" s="9">
        <v>35610</v>
      </c>
      <c r="BH137" s="9">
        <v>35530</v>
      </c>
      <c r="BI137" s="9">
        <v>35460</v>
      </c>
      <c r="BJ137" s="9">
        <v>35410</v>
      </c>
      <c r="BK137" s="9">
        <v>35380</v>
      </c>
      <c r="BL137" s="9">
        <v>35380</v>
      </c>
      <c r="BM137" s="9">
        <v>35400</v>
      </c>
      <c r="BN137" s="9">
        <v>35440</v>
      </c>
      <c r="BO137" s="9">
        <v>35480</v>
      </c>
    </row>
    <row r="138" spans="3:67" x14ac:dyDescent="0.2">
      <c r="C138" s="3">
        <v>29</v>
      </c>
      <c r="E138" s="9">
        <v>24860</v>
      </c>
      <c r="F138" s="9">
        <v>24580</v>
      </c>
      <c r="G138" s="9">
        <v>25170</v>
      </c>
      <c r="H138" s="9">
        <v>25650</v>
      </c>
      <c r="I138" s="9">
        <v>26170</v>
      </c>
      <c r="J138" s="9">
        <v>26150</v>
      </c>
      <c r="K138" s="9">
        <v>26520</v>
      </c>
      <c r="L138" s="9">
        <v>26330</v>
      </c>
      <c r="M138" s="9">
        <v>27060</v>
      </c>
      <c r="N138" s="9">
        <v>28600</v>
      </c>
      <c r="O138" s="9">
        <v>30020</v>
      </c>
      <c r="P138" s="9">
        <v>31500</v>
      </c>
      <c r="Q138" s="9">
        <v>33350</v>
      </c>
      <c r="R138" s="9">
        <v>35040</v>
      </c>
      <c r="S138" s="9">
        <v>36660</v>
      </c>
      <c r="T138" s="9">
        <v>36410</v>
      </c>
      <c r="U138" s="9">
        <v>36650</v>
      </c>
      <c r="V138" s="9">
        <v>36430</v>
      </c>
      <c r="W138" s="9">
        <v>36680</v>
      </c>
      <c r="X138" s="9">
        <v>36670</v>
      </c>
      <c r="Y138" s="9">
        <v>35720</v>
      </c>
      <c r="Z138" s="9">
        <v>35290</v>
      </c>
      <c r="AA138" s="9">
        <v>34580</v>
      </c>
      <c r="AB138" s="9">
        <v>35350</v>
      </c>
      <c r="AC138" s="9">
        <v>34490</v>
      </c>
      <c r="AD138" s="9">
        <v>32920</v>
      </c>
      <c r="AE138" s="9">
        <v>33120</v>
      </c>
      <c r="AF138" s="9">
        <v>33640</v>
      </c>
      <c r="AG138" s="9">
        <v>33370</v>
      </c>
      <c r="AH138" s="9">
        <v>33830</v>
      </c>
      <c r="AI138" s="9">
        <v>35380</v>
      </c>
      <c r="AJ138" s="9">
        <v>36620</v>
      </c>
      <c r="AK138" s="9">
        <v>36840</v>
      </c>
      <c r="AL138" s="9">
        <v>36920</v>
      </c>
      <c r="AM138" s="9">
        <v>35990</v>
      </c>
      <c r="AN138" s="9">
        <v>35450</v>
      </c>
      <c r="AO138" s="9">
        <v>34910</v>
      </c>
      <c r="AP138" s="9">
        <v>34140</v>
      </c>
      <c r="AQ138" s="9">
        <v>33640</v>
      </c>
      <c r="AR138" s="9">
        <v>34030</v>
      </c>
      <c r="AS138" s="9">
        <v>34360</v>
      </c>
      <c r="AT138" s="9">
        <v>34650</v>
      </c>
      <c r="AU138" s="9">
        <v>34930</v>
      </c>
      <c r="AV138" s="9">
        <v>35200</v>
      </c>
      <c r="AW138" s="9">
        <v>35450</v>
      </c>
      <c r="AX138" s="9">
        <v>35660</v>
      </c>
      <c r="AY138" s="9">
        <v>35840</v>
      </c>
      <c r="AZ138" s="9">
        <v>35980</v>
      </c>
      <c r="BA138" s="9">
        <v>36090</v>
      </c>
      <c r="BB138" s="9">
        <v>36170</v>
      </c>
      <c r="BC138" s="9">
        <v>36210</v>
      </c>
      <c r="BD138" s="9">
        <v>36220</v>
      </c>
      <c r="BE138" s="9">
        <v>36200</v>
      </c>
      <c r="BF138" s="9">
        <v>36140</v>
      </c>
      <c r="BG138" s="9">
        <v>36070</v>
      </c>
      <c r="BH138" s="9">
        <v>35990</v>
      </c>
      <c r="BI138" s="9">
        <v>35910</v>
      </c>
      <c r="BJ138" s="9">
        <v>35840</v>
      </c>
      <c r="BK138" s="9">
        <v>35790</v>
      </c>
      <c r="BL138" s="9">
        <v>35760</v>
      </c>
      <c r="BM138" s="9">
        <v>35760</v>
      </c>
      <c r="BN138" s="9">
        <v>35780</v>
      </c>
      <c r="BO138" s="9">
        <v>35820</v>
      </c>
    </row>
    <row r="139" spans="3:67" x14ac:dyDescent="0.2">
      <c r="C139" s="3">
        <v>30</v>
      </c>
      <c r="E139" s="9">
        <v>25180</v>
      </c>
      <c r="F139" s="9">
        <v>25160</v>
      </c>
      <c r="G139" s="9">
        <v>24780</v>
      </c>
      <c r="H139" s="9">
        <v>25430</v>
      </c>
      <c r="I139" s="9">
        <v>25770</v>
      </c>
      <c r="J139" s="9">
        <v>26150</v>
      </c>
      <c r="K139" s="9">
        <v>26000</v>
      </c>
      <c r="L139" s="9">
        <v>26530</v>
      </c>
      <c r="M139" s="9">
        <v>27170</v>
      </c>
      <c r="N139" s="9">
        <v>28050</v>
      </c>
      <c r="O139" s="9">
        <v>29310</v>
      </c>
      <c r="P139" s="9">
        <v>30460</v>
      </c>
      <c r="Q139" s="9">
        <v>31940</v>
      </c>
      <c r="R139" s="9">
        <v>33790</v>
      </c>
      <c r="S139" s="9">
        <v>35480</v>
      </c>
      <c r="T139" s="9">
        <v>37100</v>
      </c>
      <c r="U139" s="9">
        <v>36850</v>
      </c>
      <c r="V139" s="9">
        <v>37090</v>
      </c>
      <c r="W139" s="9">
        <v>36870</v>
      </c>
      <c r="X139" s="9">
        <v>37120</v>
      </c>
      <c r="Y139" s="9">
        <v>37110</v>
      </c>
      <c r="Z139" s="9">
        <v>36160</v>
      </c>
      <c r="AA139" s="9">
        <v>35730</v>
      </c>
      <c r="AB139" s="9">
        <v>35020</v>
      </c>
      <c r="AC139" s="9">
        <v>35790</v>
      </c>
      <c r="AD139" s="9">
        <v>34930</v>
      </c>
      <c r="AE139" s="9">
        <v>33360</v>
      </c>
      <c r="AF139" s="9">
        <v>33560</v>
      </c>
      <c r="AG139" s="9">
        <v>34080</v>
      </c>
      <c r="AH139" s="9">
        <v>33820</v>
      </c>
      <c r="AI139" s="9">
        <v>34280</v>
      </c>
      <c r="AJ139" s="9">
        <v>35820</v>
      </c>
      <c r="AK139" s="9">
        <v>37060</v>
      </c>
      <c r="AL139" s="9">
        <v>37280</v>
      </c>
      <c r="AM139" s="9">
        <v>37360</v>
      </c>
      <c r="AN139" s="9">
        <v>36440</v>
      </c>
      <c r="AO139" s="9">
        <v>35900</v>
      </c>
      <c r="AP139" s="9">
        <v>35360</v>
      </c>
      <c r="AQ139" s="9">
        <v>34590</v>
      </c>
      <c r="AR139" s="9">
        <v>34090</v>
      </c>
      <c r="AS139" s="9">
        <v>34480</v>
      </c>
      <c r="AT139" s="9">
        <v>34810</v>
      </c>
      <c r="AU139" s="9">
        <v>35090</v>
      </c>
      <c r="AV139" s="9">
        <v>35380</v>
      </c>
      <c r="AW139" s="9">
        <v>35650</v>
      </c>
      <c r="AX139" s="9">
        <v>35890</v>
      </c>
      <c r="AY139" s="9">
        <v>36100</v>
      </c>
      <c r="AZ139" s="9">
        <v>36280</v>
      </c>
      <c r="BA139" s="9">
        <v>36430</v>
      </c>
      <c r="BB139" s="9">
        <v>36540</v>
      </c>
      <c r="BC139" s="9">
        <v>36610</v>
      </c>
      <c r="BD139" s="9">
        <v>36660</v>
      </c>
      <c r="BE139" s="9">
        <v>36670</v>
      </c>
      <c r="BF139" s="9">
        <v>36640</v>
      </c>
      <c r="BG139" s="9">
        <v>36590</v>
      </c>
      <c r="BH139" s="9">
        <v>36520</v>
      </c>
      <c r="BI139" s="9">
        <v>36440</v>
      </c>
      <c r="BJ139" s="9">
        <v>36360</v>
      </c>
      <c r="BK139" s="9">
        <v>36290</v>
      </c>
      <c r="BL139" s="9">
        <v>36240</v>
      </c>
      <c r="BM139" s="9">
        <v>36210</v>
      </c>
      <c r="BN139" s="9">
        <v>36210</v>
      </c>
      <c r="BO139" s="9">
        <v>36230</v>
      </c>
    </row>
    <row r="140" spans="3:67" x14ac:dyDescent="0.2">
      <c r="C140" s="3">
        <v>31</v>
      </c>
      <c r="E140" s="9">
        <v>26120</v>
      </c>
      <c r="F140" s="9">
        <v>25420</v>
      </c>
      <c r="G140" s="9">
        <v>25480</v>
      </c>
      <c r="H140" s="9">
        <v>25060</v>
      </c>
      <c r="I140" s="9">
        <v>25520</v>
      </c>
      <c r="J140" s="9">
        <v>25770</v>
      </c>
      <c r="K140" s="9">
        <v>26110</v>
      </c>
      <c r="L140" s="9">
        <v>26060</v>
      </c>
      <c r="M140" s="9">
        <v>27310</v>
      </c>
      <c r="N140" s="9">
        <v>28040</v>
      </c>
      <c r="O140" s="9">
        <v>28680</v>
      </c>
      <c r="P140" s="9">
        <v>29700</v>
      </c>
      <c r="Q140" s="9">
        <v>30850</v>
      </c>
      <c r="R140" s="9">
        <v>32330</v>
      </c>
      <c r="S140" s="9">
        <v>34180</v>
      </c>
      <c r="T140" s="9">
        <v>35870</v>
      </c>
      <c r="U140" s="9">
        <v>37490</v>
      </c>
      <c r="V140" s="9">
        <v>37230</v>
      </c>
      <c r="W140" s="9">
        <v>37480</v>
      </c>
      <c r="X140" s="9">
        <v>37260</v>
      </c>
      <c r="Y140" s="9">
        <v>37510</v>
      </c>
      <c r="Z140" s="9">
        <v>37500</v>
      </c>
      <c r="AA140" s="9">
        <v>36550</v>
      </c>
      <c r="AB140" s="9">
        <v>36130</v>
      </c>
      <c r="AC140" s="9">
        <v>35420</v>
      </c>
      <c r="AD140" s="9">
        <v>36180</v>
      </c>
      <c r="AE140" s="9">
        <v>35330</v>
      </c>
      <c r="AF140" s="9">
        <v>33750</v>
      </c>
      <c r="AG140" s="9">
        <v>33960</v>
      </c>
      <c r="AH140" s="9">
        <v>34470</v>
      </c>
      <c r="AI140" s="9">
        <v>34210</v>
      </c>
      <c r="AJ140" s="9">
        <v>34670</v>
      </c>
      <c r="AK140" s="9">
        <v>36220</v>
      </c>
      <c r="AL140" s="9">
        <v>37460</v>
      </c>
      <c r="AM140" s="9">
        <v>37670</v>
      </c>
      <c r="AN140" s="9">
        <v>37760</v>
      </c>
      <c r="AO140" s="9">
        <v>36830</v>
      </c>
      <c r="AP140" s="9">
        <v>36290</v>
      </c>
      <c r="AQ140" s="9">
        <v>35750</v>
      </c>
      <c r="AR140" s="9">
        <v>34980</v>
      </c>
      <c r="AS140" s="9">
        <v>34480</v>
      </c>
      <c r="AT140" s="9">
        <v>34870</v>
      </c>
      <c r="AU140" s="9">
        <v>35210</v>
      </c>
      <c r="AV140" s="9">
        <v>35490</v>
      </c>
      <c r="AW140" s="9">
        <v>35780</v>
      </c>
      <c r="AX140" s="9">
        <v>36050</v>
      </c>
      <c r="AY140" s="9">
        <v>36290</v>
      </c>
      <c r="AZ140" s="9">
        <v>36500</v>
      </c>
      <c r="BA140" s="9">
        <v>36680</v>
      </c>
      <c r="BB140" s="9">
        <v>36830</v>
      </c>
      <c r="BC140" s="9">
        <v>36940</v>
      </c>
      <c r="BD140" s="9">
        <v>37010</v>
      </c>
      <c r="BE140" s="9">
        <v>37060</v>
      </c>
      <c r="BF140" s="9">
        <v>37070</v>
      </c>
      <c r="BG140" s="9">
        <v>37040</v>
      </c>
      <c r="BH140" s="9">
        <v>36990</v>
      </c>
      <c r="BI140" s="9">
        <v>36920</v>
      </c>
      <c r="BJ140" s="9">
        <v>36840</v>
      </c>
      <c r="BK140" s="9">
        <v>36760</v>
      </c>
      <c r="BL140" s="9">
        <v>36690</v>
      </c>
      <c r="BM140" s="9">
        <v>36640</v>
      </c>
      <c r="BN140" s="9">
        <v>36620</v>
      </c>
      <c r="BO140" s="9">
        <v>36620</v>
      </c>
    </row>
    <row r="141" spans="3:67" x14ac:dyDescent="0.2">
      <c r="C141" s="3">
        <v>32</v>
      </c>
      <c r="E141" s="9">
        <v>27080</v>
      </c>
      <c r="F141" s="9">
        <v>26350</v>
      </c>
      <c r="G141" s="9">
        <v>25550</v>
      </c>
      <c r="H141" s="9">
        <v>25630</v>
      </c>
      <c r="I141" s="9">
        <v>25140</v>
      </c>
      <c r="J141" s="9">
        <v>25470</v>
      </c>
      <c r="K141" s="9">
        <v>25610</v>
      </c>
      <c r="L141" s="9">
        <v>26030</v>
      </c>
      <c r="M141" s="9">
        <v>26580</v>
      </c>
      <c r="N141" s="9">
        <v>27910</v>
      </c>
      <c r="O141" s="9">
        <v>28450</v>
      </c>
      <c r="P141" s="9">
        <v>28890</v>
      </c>
      <c r="Q141" s="9">
        <v>29920</v>
      </c>
      <c r="R141" s="9">
        <v>31060</v>
      </c>
      <c r="S141" s="9">
        <v>32540</v>
      </c>
      <c r="T141" s="9">
        <v>34390</v>
      </c>
      <c r="U141" s="9">
        <v>36080</v>
      </c>
      <c r="V141" s="9">
        <v>37690</v>
      </c>
      <c r="W141" s="9">
        <v>37440</v>
      </c>
      <c r="X141" s="9">
        <v>37690</v>
      </c>
      <c r="Y141" s="9">
        <v>37470</v>
      </c>
      <c r="Z141" s="9">
        <v>37720</v>
      </c>
      <c r="AA141" s="9">
        <v>37710</v>
      </c>
      <c r="AB141" s="9">
        <v>36760</v>
      </c>
      <c r="AC141" s="9">
        <v>36340</v>
      </c>
      <c r="AD141" s="9">
        <v>35630</v>
      </c>
      <c r="AE141" s="9">
        <v>36390</v>
      </c>
      <c r="AF141" s="9">
        <v>35540</v>
      </c>
      <c r="AG141" s="9">
        <v>33970</v>
      </c>
      <c r="AH141" s="9">
        <v>34170</v>
      </c>
      <c r="AI141" s="9">
        <v>34690</v>
      </c>
      <c r="AJ141" s="9">
        <v>34430</v>
      </c>
      <c r="AK141" s="9">
        <v>34890</v>
      </c>
      <c r="AL141" s="9">
        <v>36430</v>
      </c>
      <c r="AM141" s="9">
        <v>37670</v>
      </c>
      <c r="AN141" s="9">
        <v>37890</v>
      </c>
      <c r="AO141" s="9">
        <v>37970</v>
      </c>
      <c r="AP141" s="9">
        <v>37050</v>
      </c>
      <c r="AQ141" s="9">
        <v>36510</v>
      </c>
      <c r="AR141" s="9">
        <v>35970</v>
      </c>
      <c r="AS141" s="9">
        <v>35200</v>
      </c>
      <c r="AT141" s="9">
        <v>34700</v>
      </c>
      <c r="AU141" s="9">
        <v>35090</v>
      </c>
      <c r="AV141" s="9">
        <v>35420</v>
      </c>
      <c r="AW141" s="9">
        <v>35710</v>
      </c>
      <c r="AX141" s="9">
        <v>35990</v>
      </c>
      <c r="AY141" s="9">
        <v>36270</v>
      </c>
      <c r="AZ141" s="9">
        <v>36510</v>
      </c>
      <c r="BA141" s="9">
        <v>36720</v>
      </c>
      <c r="BB141" s="9">
        <v>36900</v>
      </c>
      <c r="BC141" s="9">
        <v>37050</v>
      </c>
      <c r="BD141" s="9">
        <v>37160</v>
      </c>
      <c r="BE141" s="9">
        <v>37230</v>
      </c>
      <c r="BF141" s="9">
        <v>37280</v>
      </c>
      <c r="BG141" s="9">
        <v>37290</v>
      </c>
      <c r="BH141" s="9">
        <v>37260</v>
      </c>
      <c r="BI141" s="9">
        <v>37210</v>
      </c>
      <c r="BJ141" s="9">
        <v>37140</v>
      </c>
      <c r="BK141" s="9">
        <v>37060</v>
      </c>
      <c r="BL141" s="9">
        <v>36980</v>
      </c>
      <c r="BM141" s="9">
        <v>36910</v>
      </c>
      <c r="BN141" s="9">
        <v>36860</v>
      </c>
      <c r="BO141" s="9">
        <v>36840</v>
      </c>
    </row>
    <row r="142" spans="3:67" x14ac:dyDescent="0.2">
      <c r="C142" s="3">
        <v>33</v>
      </c>
      <c r="E142" s="9">
        <v>28270</v>
      </c>
      <c r="F142" s="9">
        <v>27360</v>
      </c>
      <c r="G142" s="9">
        <v>26460</v>
      </c>
      <c r="H142" s="9">
        <v>25700</v>
      </c>
      <c r="I142" s="9">
        <v>25670</v>
      </c>
      <c r="J142" s="9">
        <v>25030</v>
      </c>
      <c r="K142" s="9">
        <v>25340</v>
      </c>
      <c r="L142" s="9">
        <v>25570</v>
      </c>
      <c r="M142" s="9">
        <v>26460</v>
      </c>
      <c r="N142" s="9">
        <v>27070</v>
      </c>
      <c r="O142" s="9">
        <v>28210</v>
      </c>
      <c r="P142" s="9">
        <v>28570</v>
      </c>
      <c r="Q142" s="9">
        <v>29010</v>
      </c>
      <c r="R142" s="9">
        <v>30040</v>
      </c>
      <c r="S142" s="9">
        <v>31180</v>
      </c>
      <c r="T142" s="9">
        <v>32660</v>
      </c>
      <c r="U142" s="9">
        <v>34500</v>
      </c>
      <c r="V142" s="9">
        <v>36190</v>
      </c>
      <c r="W142" s="9">
        <v>37810</v>
      </c>
      <c r="X142" s="9">
        <v>37560</v>
      </c>
      <c r="Y142" s="9">
        <v>37800</v>
      </c>
      <c r="Z142" s="9">
        <v>37590</v>
      </c>
      <c r="AA142" s="9">
        <v>37840</v>
      </c>
      <c r="AB142" s="9">
        <v>37820</v>
      </c>
      <c r="AC142" s="9">
        <v>36880</v>
      </c>
      <c r="AD142" s="9">
        <v>36460</v>
      </c>
      <c r="AE142" s="9">
        <v>35750</v>
      </c>
      <c r="AF142" s="9">
        <v>36510</v>
      </c>
      <c r="AG142" s="9">
        <v>35660</v>
      </c>
      <c r="AH142" s="9">
        <v>34090</v>
      </c>
      <c r="AI142" s="9">
        <v>34290</v>
      </c>
      <c r="AJ142" s="9">
        <v>34810</v>
      </c>
      <c r="AK142" s="9">
        <v>34550</v>
      </c>
      <c r="AL142" s="9">
        <v>35010</v>
      </c>
      <c r="AM142" s="9">
        <v>36550</v>
      </c>
      <c r="AN142" s="9">
        <v>37790</v>
      </c>
      <c r="AO142" s="9">
        <v>38010</v>
      </c>
      <c r="AP142" s="9">
        <v>38090</v>
      </c>
      <c r="AQ142" s="9">
        <v>37170</v>
      </c>
      <c r="AR142" s="9">
        <v>36630</v>
      </c>
      <c r="AS142" s="9">
        <v>36090</v>
      </c>
      <c r="AT142" s="9">
        <v>35330</v>
      </c>
      <c r="AU142" s="9">
        <v>34830</v>
      </c>
      <c r="AV142" s="9">
        <v>35220</v>
      </c>
      <c r="AW142" s="9">
        <v>35550</v>
      </c>
      <c r="AX142" s="9">
        <v>35840</v>
      </c>
      <c r="AY142" s="9">
        <v>36120</v>
      </c>
      <c r="AZ142" s="9">
        <v>36390</v>
      </c>
      <c r="BA142" s="9">
        <v>36640</v>
      </c>
      <c r="BB142" s="9">
        <v>36850</v>
      </c>
      <c r="BC142" s="9">
        <v>37030</v>
      </c>
      <c r="BD142" s="9">
        <v>37170</v>
      </c>
      <c r="BE142" s="9">
        <v>37280</v>
      </c>
      <c r="BF142" s="9">
        <v>37360</v>
      </c>
      <c r="BG142" s="9">
        <v>37400</v>
      </c>
      <c r="BH142" s="9">
        <v>37410</v>
      </c>
      <c r="BI142" s="9">
        <v>37390</v>
      </c>
      <c r="BJ142" s="9">
        <v>37340</v>
      </c>
      <c r="BK142" s="9">
        <v>37270</v>
      </c>
      <c r="BL142" s="9">
        <v>37190</v>
      </c>
      <c r="BM142" s="9">
        <v>37110</v>
      </c>
      <c r="BN142" s="9">
        <v>37040</v>
      </c>
      <c r="BO142" s="9">
        <v>36990</v>
      </c>
    </row>
    <row r="143" spans="3:67" x14ac:dyDescent="0.2">
      <c r="C143" s="3">
        <v>34</v>
      </c>
      <c r="E143" s="9">
        <v>29670</v>
      </c>
      <c r="F143" s="9">
        <v>28570</v>
      </c>
      <c r="G143" s="9">
        <v>27580</v>
      </c>
      <c r="H143" s="9">
        <v>26650</v>
      </c>
      <c r="I143" s="9">
        <v>25770</v>
      </c>
      <c r="J143" s="9">
        <v>25700</v>
      </c>
      <c r="K143" s="9">
        <v>24980</v>
      </c>
      <c r="L143" s="9">
        <v>25320</v>
      </c>
      <c r="M143" s="9">
        <v>25940</v>
      </c>
      <c r="N143" s="9">
        <v>26940</v>
      </c>
      <c r="O143" s="9">
        <v>27370</v>
      </c>
      <c r="P143" s="9">
        <v>28330</v>
      </c>
      <c r="Q143" s="9">
        <v>28680</v>
      </c>
      <c r="R143" s="9">
        <v>29130</v>
      </c>
      <c r="S143" s="9">
        <v>30150</v>
      </c>
      <c r="T143" s="9">
        <v>31290</v>
      </c>
      <c r="U143" s="9">
        <v>32770</v>
      </c>
      <c r="V143" s="9">
        <v>34620</v>
      </c>
      <c r="W143" s="9">
        <v>36300</v>
      </c>
      <c r="X143" s="9">
        <v>37920</v>
      </c>
      <c r="Y143" s="9">
        <v>37670</v>
      </c>
      <c r="Z143" s="9">
        <v>37910</v>
      </c>
      <c r="AA143" s="9">
        <v>37700</v>
      </c>
      <c r="AB143" s="9">
        <v>37950</v>
      </c>
      <c r="AC143" s="9">
        <v>37940</v>
      </c>
      <c r="AD143" s="9">
        <v>37000</v>
      </c>
      <c r="AE143" s="9">
        <v>36570</v>
      </c>
      <c r="AF143" s="9">
        <v>35870</v>
      </c>
      <c r="AG143" s="9">
        <v>36630</v>
      </c>
      <c r="AH143" s="9">
        <v>35780</v>
      </c>
      <c r="AI143" s="9">
        <v>34210</v>
      </c>
      <c r="AJ143" s="9">
        <v>34410</v>
      </c>
      <c r="AK143" s="9">
        <v>34930</v>
      </c>
      <c r="AL143" s="9">
        <v>34670</v>
      </c>
      <c r="AM143" s="9">
        <v>35130</v>
      </c>
      <c r="AN143" s="9">
        <v>36670</v>
      </c>
      <c r="AO143" s="9">
        <v>37910</v>
      </c>
      <c r="AP143" s="9">
        <v>38130</v>
      </c>
      <c r="AQ143" s="9">
        <v>38210</v>
      </c>
      <c r="AR143" s="9">
        <v>37290</v>
      </c>
      <c r="AS143" s="9">
        <v>36750</v>
      </c>
      <c r="AT143" s="9">
        <v>36210</v>
      </c>
      <c r="AU143" s="9">
        <v>35450</v>
      </c>
      <c r="AV143" s="9">
        <v>34950</v>
      </c>
      <c r="AW143" s="9">
        <v>35340</v>
      </c>
      <c r="AX143" s="9">
        <v>35670</v>
      </c>
      <c r="AY143" s="9">
        <v>35960</v>
      </c>
      <c r="AZ143" s="9">
        <v>36240</v>
      </c>
      <c r="BA143" s="9">
        <v>36520</v>
      </c>
      <c r="BB143" s="9">
        <v>36760</v>
      </c>
      <c r="BC143" s="9">
        <v>36970</v>
      </c>
      <c r="BD143" s="9">
        <v>37150</v>
      </c>
      <c r="BE143" s="9">
        <v>37300</v>
      </c>
      <c r="BF143" s="9">
        <v>37410</v>
      </c>
      <c r="BG143" s="9">
        <v>37480</v>
      </c>
      <c r="BH143" s="9">
        <v>37530</v>
      </c>
      <c r="BI143" s="9">
        <v>37540</v>
      </c>
      <c r="BJ143" s="9">
        <v>37520</v>
      </c>
      <c r="BK143" s="9">
        <v>37470</v>
      </c>
      <c r="BL143" s="9">
        <v>37400</v>
      </c>
      <c r="BM143" s="9">
        <v>37320</v>
      </c>
      <c r="BN143" s="9">
        <v>37240</v>
      </c>
      <c r="BO143" s="9">
        <v>37170</v>
      </c>
    </row>
    <row r="144" spans="3:67" x14ac:dyDescent="0.2">
      <c r="C144" s="3">
        <v>35</v>
      </c>
      <c r="E144" s="9">
        <v>30140</v>
      </c>
      <c r="F144" s="9">
        <v>29910</v>
      </c>
      <c r="G144" s="9">
        <v>28640</v>
      </c>
      <c r="H144" s="9">
        <v>27750</v>
      </c>
      <c r="I144" s="9">
        <v>26780</v>
      </c>
      <c r="J144" s="9">
        <v>25730</v>
      </c>
      <c r="K144" s="9">
        <v>25670</v>
      </c>
      <c r="L144" s="9">
        <v>24970</v>
      </c>
      <c r="M144" s="9">
        <v>25650</v>
      </c>
      <c r="N144" s="9">
        <v>26390</v>
      </c>
      <c r="O144" s="9">
        <v>27220</v>
      </c>
      <c r="P144" s="9">
        <v>27480</v>
      </c>
      <c r="Q144" s="9">
        <v>28440</v>
      </c>
      <c r="R144" s="9">
        <v>28800</v>
      </c>
      <c r="S144" s="9">
        <v>29240</v>
      </c>
      <c r="T144" s="9">
        <v>30260</v>
      </c>
      <c r="U144" s="9">
        <v>31400</v>
      </c>
      <c r="V144" s="9">
        <v>32880</v>
      </c>
      <c r="W144" s="9">
        <v>34720</v>
      </c>
      <c r="X144" s="9">
        <v>36410</v>
      </c>
      <c r="Y144" s="9">
        <v>38030</v>
      </c>
      <c r="Z144" s="9">
        <v>37780</v>
      </c>
      <c r="AA144" s="9">
        <v>38020</v>
      </c>
      <c r="AB144" s="9">
        <v>37810</v>
      </c>
      <c r="AC144" s="9">
        <v>38060</v>
      </c>
      <c r="AD144" s="9">
        <v>38050</v>
      </c>
      <c r="AE144" s="9">
        <v>37100</v>
      </c>
      <c r="AF144" s="9">
        <v>36680</v>
      </c>
      <c r="AG144" s="9">
        <v>35980</v>
      </c>
      <c r="AH144" s="9">
        <v>36740</v>
      </c>
      <c r="AI144" s="9">
        <v>35890</v>
      </c>
      <c r="AJ144" s="9">
        <v>34320</v>
      </c>
      <c r="AK144" s="9">
        <v>34520</v>
      </c>
      <c r="AL144" s="9">
        <v>35040</v>
      </c>
      <c r="AM144" s="9">
        <v>34780</v>
      </c>
      <c r="AN144" s="9">
        <v>35240</v>
      </c>
      <c r="AO144" s="9">
        <v>36780</v>
      </c>
      <c r="AP144" s="9">
        <v>38020</v>
      </c>
      <c r="AQ144" s="9">
        <v>38240</v>
      </c>
      <c r="AR144" s="9">
        <v>38320</v>
      </c>
      <c r="AS144" s="9">
        <v>37400</v>
      </c>
      <c r="AT144" s="9">
        <v>36870</v>
      </c>
      <c r="AU144" s="9">
        <v>36330</v>
      </c>
      <c r="AV144" s="9">
        <v>35560</v>
      </c>
      <c r="AW144" s="9">
        <v>35070</v>
      </c>
      <c r="AX144" s="9">
        <v>35460</v>
      </c>
      <c r="AY144" s="9">
        <v>35790</v>
      </c>
      <c r="AZ144" s="9">
        <v>36080</v>
      </c>
      <c r="BA144" s="9">
        <v>36360</v>
      </c>
      <c r="BB144" s="9">
        <v>36630</v>
      </c>
      <c r="BC144" s="9">
        <v>36870</v>
      </c>
      <c r="BD144" s="9">
        <v>37090</v>
      </c>
      <c r="BE144" s="9">
        <v>37270</v>
      </c>
      <c r="BF144" s="9">
        <v>37410</v>
      </c>
      <c r="BG144" s="9">
        <v>37520</v>
      </c>
      <c r="BH144" s="9">
        <v>37600</v>
      </c>
      <c r="BI144" s="9">
        <v>37650</v>
      </c>
      <c r="BJ144" s="9">
        <v>37660</v>
      </c>
      <c r="BK144" s="9">
        <v>37640</v>
      </c>
      <c r="BL144" s="9">
        <v>37590</v>
      </c>
      <c r="BM144" s="9">
        <v>37520</v>
      </c>
      <c r="BN144" s="9">
        <v>37440</v>
      </c>
      <c r="BO144" s="9">
        <v>37360</v>
      </c>
    </row>
    <row r="145" spans="3:67" x14ac:dyDescent="0.2">
      <c r="C145" s="3">
        <v>36</v>
      </c>
      <c r="E145" s="9">
        <v>29680</v>
      </c>
      <c r="F145" s="9">
        <v>30320</v>
      </c>
      <c r="G145" s="9">
        <v>30070</v>
      </c>
      <c r="H145" s="9">
        <v>28790</v>
      </c>
      <c r="I145" s="9">
        <v>27890</v>
      </c>
      <c r="J145" s="9">
        <v>26800</v>
      </c>
      <c r="K145" s="9">
        <v>25710</v>
      </c>
      <c r="L145" s="9">
        <v>25740</v>
      </c>
      <c r="M145" s="9">
        <v>25230</v>
      </c>
      <c r="N145" s="9">
        <v>26080</v>
      </c>
      <c r="O145" s="9">
        <v>26660</v>
      </c>
      <c r="P145" s="9">
        <v>27320</v>
      </c>
      <c r="Q145" s="9">
        <v>27580</v>
      </c>
      <c r="R145" s="9">
        <v>28540</v>
      </c>
      <c r="S145" s="9">
        <v>28900</v>
      </c>
      <c r="T145" s="9">
        <v>29340</v>
      </c>
      <c r="U145" s="9">
        <v>30360</v>
      </c>
      <c r="V145" s="9">
        <v>31500</v>
      </c>
      <c r="W145" s="9">
        <v>32980</v>
      </c>
      <c r="X145" s="9">
        <v>34820</v>
      </c>
      <c r="Y145" s="9">
        <v>36510</v>
      </c>
      <c r="Z145" s="9">
        <v>38120</v>
      </c>
      <c r="AA145" s="9">
        <v>37880</v>
      </c>
      <c r="AB145" s="9">
        <v>38120</v>
      </c>
      <c r="AC145" s="9">
        <v>37910</v>
      </c>
      <c r="AD145" s="9">
        <v>38160</v>
      </c>
      <c r="AE145" s="9">
        <v>38140</v>
      </c>
      <c r="AF145" s="9">
        <v>37200</v>
      </c>
      <c r="AG145" s="9">
        <v>36780</v>
      </c>
      <c r="AH145" s="9">
        <v>36080</v>
      </c>
      <c r="AI145" s="9">
        <v>36840</v>
      </c>
      <c r="AJ145" s="9">
        <v>35990</v>
      </c>
      <c r="AK145" s="9">
        <v>34430</v>
      </c>
      <c r="AL145" s="9">
        <v>34630</v>
      </c>
      <c r="AM145" s="9">
        <v>35140</v>
      </c>
      <c r="AN145" s="9">
        <v>34890</v>
      </c>
      <c r="AO145" s="9">
        <v>35350</v>
      </c>
      <c r="AP145" s="9">
        <v>36890</v>
      </c>
      <c r="AQ145" s="9">
        <v>38130</v>
      </c>
      <c r="AR145" s="9">
        <v>38350</v>
      </c>
      <c r="AS145" s="9">
        <v>38430</v>
      </c>
      <c r="AT145" s="9">
        <v>37510</v>
      </c>
      <c r="AU145" s="9">
        <v>36970</v>
      </c>
      <c r="AV145" s="9">
        <v>36440</v>
      </c>
      <c r="AW145" s="9">
        <v>35670</v>
      </c>
      <c r="AX145" s="9">
        <v>35170</v>
      </c>
      <c r="AY145" s="9">
        <v>35560</v>
      </c>
      <c r="AZ145" s="9">
        <v>35900</v>
      </c>
      <c r="BA145" s="9">
        <v>36180</v>
      </c>
      <c r="BB145" s="9">
        <v>36470</v>
      </c>
      <c r="BC145" s="9">
        <v>36740</v>
      </c>
      <c r="BD145" s="9">
        <v>36980</v>
      </c>
      <c r="BE145" s="9">
        <v>37190</v>
      </c>
      <c r="BF145" s="9">
        <v>37380</v>
      </c>
      <c r="BG145" s="9">
        <v>37520</v>
      </c>
      <c r="BH145" s="9">
        <v>37630</v>
      </c>
      <c r="BI145" s="9">
        <v>37710</v>
      </c>
      <c r="BJ145" s="9">
        <v>37750</v>
      </c>
      <c r="BK145" s="9">
        <v>37770</v>
      </c>
      <c r="BL145" s="9">
        <v>37740</v>
      </c>
      <c r="BM145" s="9">
        <v>37700</v>
      </c>
      <c r="BN145" s="9">
        <v>37630</v>
      </c>
      <c r="BO145" s="9">
        <v>37550</v>
      </c>
    </row>
    <row r="146" spans="3:67" x14ac:dyDescent="0.2">
      <c r="C146" s="3">
        <v>37</v>
      </c>
      <c r="E146" s="9">
        <v>30040</v>
      </c>
      <c r="F146" s="9">
        <v>29860</v>
      </c>
      <c r="G146" s="9">
        <v>30480</v>
      </c>
      <c r="H146" s="9">
        <v>30200</v>
      </c>
      <c r="I146" s="9">
        <v>28920</v>
      </c>
      <c r="J146" s="9">
        <v>27960</v>
      </c>
      <c r="K146" s="9">
        <v>26770</v>
      </c>
      <c r="L146" s="9">
        <v>25830</v>
      </c>
      <c r="M146" s="9">
        <v>25980</v>
      </c>
      <c r="N146" s="9">
        <v>25640</v>
      </c>
      <c r="O146" s="9">
        <v>26330</v>
      </c>
      <c r="P146" s="9">
        <v>26750</v>
      </c>
      <c r="Q146" s="9">
        <v>27410</v>
      </c>
      <c r="R146" s="9">
        <v>27670</v>
      </c>
      <c r="S146" s="9">
        <v>28630</v>
      </c>
      <c r="T146" s="9">
        <v>28990</v>
      </c>
      <c r="U146" s="9">
        <v>29430</v>
      </c>
      <c r="V146" s="9">
        <v>30450</v>
      </c>
      <c r="W146" s="9">
        <v>31590</v>
      </c>
      <c r="X146" s="9">
        <v>33070</v>
      </c>
      <c r="Y146" s="9">
        <v>34910</v>
      </c>
      <c r="Z146" s="9">
        <v>36590</v>
      </c>
      <c r="AA146" s="9">
        <v>38210</v>
      </c>
      <c r="AB146" s="9">
        <v>37960</v>
      </c>
      <c r="AC146" s="9">
        <v>38200</v>
      </c>
      <c r="AD146" s="9">
        <v>37990</v>
      </c>
      <c r="AE146" s="9">
        <v>38240</v>
      </c>
      <c r="AF146" s="9">
        <v>38230</v>
      </c>
      <c r="AG146" s="9">
        <v>37290</v>
      </c>
      <c r="AH146" s="9">
        <v>36870</v>
      </c>
      <c r="AI146" s="9">
        <v>36170</v>
      </c>
      <c r="AJ146" s="9">
        <v>36930</v>
      </c>
      <c r="AK146" s="9">
        <v>36080</v>
      </c>
      <c r="AL146" s="9">
        <v>34520</v>
      </c>
      <c r="AM146" s="9">
        <v>34720</v>
      </c>
      <c r="AN146" s="9">
        <v>35240</v>
      </c>
      <c r="AO146" s="9">
        <v>34980</v>
      </c>
      <c r="AP146" s="9">
        <v>35440</v>
      </c>
      <c r="AQ146" s="9">
        <v>36980</v>
      </c>
      <c r="AR146" s="9">
        <v>38220</v>
      </c>
      <c r="AS146" s="9">
        <v>38440</v>
      </c>
      <c r="AT146" s="9">
        <v>38520</v>
      </c>
      <c r="AU146" s="9">
        <v>37600</v>
      </c>
      <c r="AV146" s="9">
        <v>37070</v>
      </c>
      <c r="AW146" s="9">
        <v>36530</v>
      </c>
      <c r="AX146" s="9">
        <v>35770</v>
      </c>
      <c r="AY146" s="9">
        <v>35270</v>
      </c>
      <c r="AZ146" s="9">
        <v>35660</v>
      </c>
      <c r="BA146" s="9">
        <v>35990</v>
      </c>
      <c r="BB146" s="9">
        <v>36280</v>
      </c>
      <c r="BC146" s="9">
        <v>36560</v>
      </c>
      <c r="BD146" s="9">
        <v>36840</v>
      </c>
      <c r="BE146" s="9">
        <v>37080</v>
      </c>
      <c r="BF146" s="9">
        <v>37290</v>
      </c>
      <c r="BG146" s="9">
        <v>37470</v>
      </c>
      <c r="BH146" s="9">
        <v>37620</v>
      </c>
      <c r="BI146" s="9">
        <v>37730</v>
      </c>
      <c r="BJ146" s="9">
        <v>37810</v>
      </c>
      <c r="BK146" s="9">
        <v>37850</v>
      </c>
      <c r="BL146" s="9">
        <v>37860</v>
      </c>
      <c r="BM146" s="9">
        <v>37840</v>
      </c>
      <c r="BN146" s="9">
        <v>37800</v>
      </c>
      <c r="BO146" s="9">
        <v>37730</v>
      </c>
    </row>
    <row r="147" spans="3:67" x14ac:dyDescent="0.2">
      <c r="C147" s="3">
        <v>38</v>
      </c>
      <c r="E147" s="9">
        <v>29710</v>
      </c>
      <c r="F147" s="9">
        <v>30220</v>
      </c>
      <c r="G147" s="9">
        <v>29910</v>
      </c>
      <c r="H147" s="9">
        <v>30610</v>
      </c>
      <c r="I147" s="9">
        <v>30300</v>
      </c>
      <c r="J147" s="9">
        <v>28910</v>
      </c>
      <c r="K147" s="9">
        <v>27940</v>
      </c>
      <c r="L147" s="9">
        <v>26840</v>
      </c>
      <c r="M147" s="9">
        <v>26070</v>
      </c>
      <c r="N147" s="9">
        <v>26370</v>
      </c>
      <c r="O147" s="9">
        <v>25870</v>
      </c>
      <c r="P147" s="9">
        <v>26410</v>
      </c>
      <c r="Q147" s="9">
        <v>26830</v>
      </c>
      <c r="R147" s="9">
        <v>27490</v>
      </c>
      <c r="S147" s="9">
        <v>27750</v>
      </c>
      <c r="T147" s="9">
        <v>28710</v>
      </c>
      <c r="U147" s="9">
        <v>29060</v>
      </c>
      <c r="V147" s="9">
        <v>29510</v>
      </c>
      <c r="W147" s="9">
        <v>30530</v>
      </c>
      <c r="X147" s="9">
        <v>31670</v>
      </c>
      <c r="Y147" s="9">
        <v>33150</v>
      </c>
      <c r="Z147" s="9">
        <v>34980</v>
      </c>
      <c r="AA147" s="9">
        <v>36670</v>
      </c>
      <c r="AB147" s="9">
        <v>38280</v>
      </c>
      <c r="AC147" s="9">
        <v>38040</v>
      </c>
      <c r="AD147" s="9">
        <v>38280</v>
      </c>
      <c r="AE147" s="9">
        <v>38070</v>
      </c>
      <c r="AF147" s="9">
        <v>38320</v>
      </c>
      <c r="AG147" s="9">
        <v>38310</v>
      </c>
      <c r="AH147" s="9">
        <v>37370</v>
      </c>
      <c r="AI147" s="9">
        <v>36950</v>
      </c>
      <c r="AJ147" s="9">
        <v>36250</v>
      </c>
      <c r="AK147" s="9">
        <v>37010</v>
      </c>
      <c r="AL147" s="9">
        <v>36160</v>
      </c>
      <c r="AM147" s="9">
        <v>34600</v>
      </c>
      <c r="AN147" s="9">
        <v>34800</v>
      </c>
      <c r="AO147" s="9">
        <v>35320</v>
      </c>
      <c r="AP147" s="9">
        <v>35060</v>
      </c>
      <c r="AQ147" s="9">
        <v>35520</v>
      </c>
      <c r="AR147" s="9">
        <v>37060</v>
      </c>
      <c r="AS147" s="9">
        <v>38300</v>
      </c>
      <c r="AT147" s="9">
        <v>38520</v>
      </c>
      <c r="AU147" s="9">
        <v>38600</v>
      </c>
      <c r="AV147" s="9">
        <v>37690</v>
      </c>
      <c r="AW147" s="9">
        <v>37150</v>
      </c>
      <c r="AX147" s="9">
        <v>36610</v>
      </c>
      <c r="AY147" s="9">
        <v>35850</v>
      </c>
      <c r="AZ147" s="9">
        <v>35360</v>
      </c>
      <c r="BA147" s="9">
        <v>35750</v>
      </c>
      <c r="BB147" s="9">
        <v>36080</v>
      </c>
      <c r="BC147" s="9">
        <v>36370</v>
      </c>
      <c r="BD147" s="9">
        <v>36650</v>
      </c>
      <c r="BE147" s="9">
        <v>36920</v>
      </c>
      <c r="BF147" s="9">
        <v>37170</v>
      </c>
      <c r="BG147" s="9">
        <v>37380</v>
      </c>
      <c r="BH147" s="9">
        <v>37560</v>
      </c>
      <c r="BI147" s="9">
        <v>37710</v>
      </c>
      <c r="BJ147" s="9">
        <v>37820</v>
      </c>
      <c r="BK147" s="9">
        <v>37900</v>
      </c>
      <c r="BL147" s="9">
        <v>37940</v>
      </c>
      <c r="BM147" s="9">
        <v>37950</v>
      </c>
      <c r="BN147" s="9">
        <v>37930</v>
      </c>
      <c r="BO147" s="9">
        <v>37880</v>
      </c>
    </row>
    <row r="148" spans="3:67" x14ac:dyDescent="0.2">
      <c r="C148" s="3">
        <v>39</v>
      </c>
      <c r="E148" s="9">
        <v>29570</v>
      </c>
      <c r="F148" s="9">
        <v>29890</v>
      </c>
      <c r="G148" s="9">
        <v>30260</v>
      </c>
      <c r="H148" s="9">
        <v>30030</v>
      </c>
      <c r="I148" s="9">
        <v>30640</v>
      </c>
      <c r="J148" s="9">
        <v>30250</v>
      </c>
      <c r="K148" s="9">
        <v>28910</v>
      </c>
      <c r="L148" s="9">
        <v>28120</v>
      </c>
      <c r="M148" s="9">
        <v>27050</v>
      </c>
      <c r="N148" s="9">
        <v>26420</v>
      </c>
      <c r="O148" s="9">
        <v>26570</v>
      </c>
      <c r="P148" s="9">
        <v>25940</v>
      </c>
      <c r="Q148" s="9">
        <v>26470</v>
      </c>
      <c r="R148" s="9">
        <v>26890</v>
      </c>
      <c r="S148" s="9">
        <v>27550</v>
      </c>
      <c r="T148" s="9">
        <v>27810</v>
      </c>
      <c r="U148" s="9">
        <v>28770</v>
      </c>
      <c r="V148" s="9">
        <v>29130</v>
      </c>
      <c r="W148" s="9">
        <v>29570</v>
      </c>
      <c r="X148" s="9">
        <v>30590</v>
      </c>
      <c r="Y148" s="9">
        <v>31730</v>
      </c>
      <c r="Z148" s="9">
        <v>33210</v>
      </c>
      <c r="AA148" s="9">
        <v>35040</v>
      </c>
      <c r="AB148" s="9">
        <v>36730</v>
      </c>
      <c r="AC148" s="9">
        <v>38340</v>
      </c>
      <c r="AD148" s="9">
        <v>38090</v>
      </c>
      <c r="AE148" s="9">
        <v>38340</v>
      </c>
      <c r="AF148" s="9">
        <v>38130</v>
      </c>
      <c r="AG148" s="9">
        <v>38380</v>
      </c>
      <c r="AH148" s="9">
        <v>38370</v>
      </c>
      <c r="AI148" s="9">
        <v>37430</v>
      </c>
      <c r="AJ148" s="9">
        <v>37010</v>
      </c>
      <c r="AK148" s="9">
        <v>36310</v>
      </c>
      <c r="AL148" s="9">
        <v>37070</v>
      </c>
      <c r="AM148" s="9">
        <v>36230</v>
      </c>
      <c r="AN148" s="9">
        <v>34670</v>
      </c>
      <c r="AO148" s="9">
        <v>34870</v>
      </c>
      <c r="AP148" s="9">
        <v>35390</v>
      </c>
      <c r="AQ148" s="9">
        <v>35130</v>
      </c>
      <c r="AR148" s="9">
        <v>35590</v>
      </c>
      <c r="AS148" s="9">
        <v>37130</v>
      </c>
      <c r="AT148" s="9">
        <v>38370</v>
      </c>
      <c r="AU148" s="9">
        <v>38590</v>
      </c>
      <c r="AV148" s="9">
        <v>38670</v>
      </c>
      <c r="AW148" s="9">
        <v>37750</v>
      </c>
      <c r="AX148" s="9">
        <v>37220</v>
      </c>
      <c r="AY148" s="9">
        <v>36680</v>
      </c>
      <c r="AZ148" s="9">
        <v>35920</v>
      </c>
      <c r="BA148" s="9">
        <v>35430</v>
      </c>
      <c r="BB148" s="9">
        <v>35820</v>
      </c>
      <c r="BC148" s="9">
        <v>36150</v>
      </c>
      <c r="BD148" s="9">
        <v>36440</v>
      </c>
      <c r="BE148" s="9">
        <v>36720</v>
      </c>
      <c r="BF148" s="9">
        <v>36990</v>
      </c>
      <c r="BG148" s="9">
        <v>37240</v>
      </c>
      <c r="BH148" s="9">
        <v>37450</v>
      </c>
      <c r="BI148" s="9">
        <v>37630</v>
      </c>
      <c r="BJ148" s="9">
        <v>37780</v>
      </c>
      <c r="BK148" s="9">
        <v>37890</v>
      </c>
      <c r="BL148" s="9">
        <v>37970</v>
      </c>
      <c r="BM148" s="9">
        <v>38010</v>
      </c>
      <c r="BN148" s="9">
        <v>38030</v>
      </c>
      <c r="BO148" s="9">
        <v>38010</v>
      </c>
    </row>
    <row r="149" spans="3:67" x14ac:dyDescent="0.2">
      <c r="C149" s="3">
        <v>40</v>
      </c>
      <c r="E149" s="9">
        <v>29920</v>
      </c>
      <c r="F149" s="9">
        <v>29750</v>
      </c>
      <c r="G149" s="9">
        <v>29950</v>
      </c>
      <c r="H149" s="9">
        <v>30360</v>
      </c>
      <c r="I149" s="9">
        <v>30050</v>
      </c>
      <c r="J149" s="9">
        <v>30610</v>
      </c>
      <c r="K149" s="9">
        <v>30210</v>
      </c>
      <c r="L149" s="9">
        <v>29000</v>
      </c>
      <c r="M149" s="9">
        <v>28310</v>
      </c>
      <c r="N149" s="9">
        <v>27380</v>
      </c>
      <c r="O149" s="9">
        <v>26600</v>
      </c>
      <c r="P149" s="9">
        <v>26620</v>
      </c>
      <c r="Q149" s="9">
        <v>25980</v>
      </c>
      <c r="R149" s="9">
        <v>26510</v>
      </c>
      <c r="S149" s="9">
        <v>26940</v>
      </c>
      <c r="T149" s="9">
        <v>27600</v>
      </c>
      <c r="U149" s="9">
        <v>27850</v>
      </c>
      <c r="V149" s="9">
        <v>28820</v>
      </c>
      <c r="W149" s="9">
        <v>29170</v>
      </c>
      <c r="X149" s="9">
        <v>29610</v>
      </c>
      <c r="Y149" s="9">
        <v>30630</v>
      </c>
      <c r="Z149" s="9">
        <v>31770</v>
      </c>
      <c r="AA149" s="9">
        <v>33250</v>
      </c>
      <c r="AB149" s="9">
        <v>35080</v>
      </c>
      <c r="AC149" s="9">
        <v>36760</v>
      </c>
      <c r="AD149" s="9">
        <v>38380</v>
      </c>
      <c r="AE149" s="9">
        <v>38130</v>
      </c>
      <c r="AF149" s="9">
        <v>38380</v>
      </c>
      <c r="AG149" s="9">
        <v>38170</v>
      </c>
      <c r="AH149" s="9">
        <v>38420</v>
      </c>
      <c r="AI149" s="9">
        <v>38410</v>
      </c>
      <c r="AJ149" s="9">
        <v>37470</v>
      </c>
      <c r="AK149" s="9">
        <v>37050</v>
      </c>
      <c r="AL149" s="9">
        <v>36350</v>
      </c>
      <c r="AM149" s="9">
        <v>37120</v>
      </c>
      <c r="AN149" s="9">
        <v>36270</v>
      </c>
      <c r="AO149" s="9">
        <v>34710</v>
      </c>
      <c r="AP149" s="9">
        <v>34920</v>
      </c>
      <c r="AQ149" s="9">
        <v>35430</v>
      </c>
      <c r="AR149" s="9">
        <v>35180</v>
      </c>
      <c r="AS149" s="9">
        <v>35640</v>
      </c>
      <c r="AT149" s="9">
        <v>37180</v>
      </c>
      <c r="AU149" s="9">
        <v>38410</v>
      </c>
      <c r="AV149" s="9">
        <v>38630</v>
      </c>
      <c r="AW149" s="9">
        <v>38720</v>
      </c>
      <c r="AX149" s="9">
        <v>37800</v>
      </c>
      <c r="AY149" s="9">
        <v>37270</v>
      </c>
      <c r="AZ149" s="9">
        <v>36730</v>
      </c>
      <c r="BA149" s="9">
        <v>35970</v>
      </c>
      <c r="BB149" s="9">
        <v>35480</v>
      </c>
      <c r="BC149" s="9">
        <v>35870</v>
      </c>
      <c r="BD149" s="9">
        <v>36200</v>
      </c>
      <c r="BE149" s="9">
        <v>36490</v>
      </c>
      <c r="BF149" s="9">
        <v>36770</v>
      </c>
      <c r="BG149" s="9">
        <v>37050</v>
      </c>
      <c r="BH149" s="9">
        <v>37290</v>
      </c>
      <c r="BI149" s="9">
        <v>37500</v>
      </c>
      <c r="BJ149" s="9">
        <v>37690</v>
      </c>
      <c r="BK149" s="9">
        <v>37830</v>
      </c>
      <c r="BL149" s="9">
        <v>37940</v>
      </c>
      <c r="BM149" s="9">
        <v>38020</v>
      </c>
      <c r="BN149" s="9">
        <v>38070</v>
      </c>
      <c r="BO149" s="9">
        <v>38080</v>
      </c>
    </row>
    <row r="150" spans="3:67" x14ac:dyDescent="0.2">
      <c r="C150" s="3">
        <v>41</v>
      </c>
      <c r="E150" s="9">
        <v>30380</v>
      </c>
      <c r="F150" s="9">
        <v>30040</v>
      </c>
      <c r="G150" s="9">
        <v>29780</v>
      </c>
      <c r="H150" s="9">
        <v>30010</v>
      </c>
      <c r="I150" s="9">
        <v>30420</v>
      </c>
      <c r="J150" s="9">
        <v>30010</v>
      </c>
      <c r="K150" s="9">
        <v>30580</v>
      </c>
      <c r="L150" s="9">
        <v>30270</v>
      </c>
      <c r="M150" s="9">
        <v>29250</v>
      </c>
      <c r="N150" s="9">
        <v>28600</v>
      </c>
      <c r="O150" s="9">
        <v>27540</v>
      </c>
      <c r="P150" s="9">
        <v>26630</v>
      </c>
      <c r="Q150" s="9">
        <v>26650</v>
      </c>
      <c r="R150" s="9">
        <v>26010</v>
      </c>
      <c r="S150" s="9">
        <v>26540</v>
      </c>
      <c r="T150" s="9">
        <v>26970</v>
      </c>
      <c r="U150" s="9">
        <v>27630</v>
      </c>
      <c r="V150" s="9">
        <v>27890</v>
      </c>
      <c r="W150" s="9">
        <v>28850</v>
      </c>
      <c r="X150" s="9">
        <v>29200</v>
      </c>
      <c r="Y150" s="9">
        <v>29640</v>
      </c>
      <c r="Z150" s="9">
        <v>30660</v>
      </c>
      <c r="AA150" s="9">
        <v>31800</v>
      </c>
      <c r="AB150" s="9">
        <v>33280</v>
      </c>
      <c r="AC150" s="9">
        <v>35110</v>
      </c>
      <c r="AD150" s="9">
        <v>36790</v>
      </c>
      <c r="AE150" s="9">
        <v>38400</v>
      </c>
      <c r="AF150" s="9">
        <v>38160</v>
      </c>
      <c r="AG150" s="9">
        <v>38400</v>
      </c>
      <c r="AH150" s="9">
        <v>38190</v>
      </c>
      <c r="AI150" s="9">
        <v>38450</v>
      </c>
      <c r="AJ150" s="9">
        <v>38440</v>
      </c>
      <c r="AK150" s="9">
        <v>37500</v>
      </c>
      <c r="AL150" s="9">
        <v>37090</v>
      </c>
      <c r="AM150" s="9">
        <v>36390</v>
      </c>
      <c r="AN150" s="9">
        <v>37150</v>
      </c>
      <c r="AO150" s="9">
        <v>36310</v>
      </c>
      <c r="AP150" s="9">
        <v>34750</v>
      </c>
      <c r="AQ150" s="9">
        <v>34950</v>
      </c>
      <c r="AR150" s="9">
        <v>35470</v>
      </c>
      <c r="AS150" s="9">
        <v>35210</v>
      </c>
      <c r="AT150" s="9">
        <v>35670</v>
      </c>
      <c r="AU150" s="9">
        <v>37210</v>
      </c>
      <c r="AV150" s="9">
        <v>38450</v>
      </c>
      <c r="AW150" s="9">
        <v>38670</v>
      </c>
      <c r="AX150" s="9">
        <v>38750</v>
      </c>
      <c r="AY150" s="9">
        <v>37840</v>
      </c>
      <c r="AZ150" s="9">
        <v>37300</v>
      </c>
      <c r="BA150" s="9">
        <v>36770</v>
      </c>
      <c r="BB150" s="9">
        <v>36010</v>
      </c>
      <c r="BC150" s="9">
        <v>35520</v>
      </c>
      <c r="BD150" s="9">
        <v>35910</v>
      </c>
      <c r="BE150" s="9">
        <v>36240</v>
      </c>
      <c r="BF150" s="9">
        <v>36530</v>
      </c>
      <c r="BG150" s="9">
        <v>36810</v>
      </c>
      <c r="BH150" s="9">
        <v>37090</v>
      </c>
      <c r="BI150" s="9">
        <v>37330</v>
      </c>
      <c r="BJ150" s="9">
        <v>37540</v>
      </c>
      <c r="BK150" s="9">
        <v>37730</v>
      </c>
      <c r="BL150" s="9">
        <v>37870</v>
      </c>
      <c r="BM150" s="9">
        <v>37990</v>
      </c>
      <c r="BN150" s="9">
        <v>38070</v>
      </c>
      <c r="BO150" s="9">
        <v>38110</v>
      </c>
    </row>
    <row r="151" spans="3:67" x14ac:dyDescent="0.2">
      <c r="C151" s="3">
        <v>42</v>
      </c>
      <c r="E151" s="9">
        <v>31600</v>
      </c>
      <c r="F151" s="9">
        <v>30480</v>
      </c>
      <c r="G151" s="9">
        <v>30040</v>
      </c>
      <c r="H151" s="9">
        <v>29810</v>
      </c>
      <c r="I151" s="9">
        <v>30060</v>
      </c>
      <c r="J151" s="9">
        <v>30400</v>
      </c>
      <c r="K151" s="9">
        <v>29940</v>
      </c>
      <c r="L151" s="9">
        <v>30650</v>
      </c>
      <c r="M151" s="9">
        <v>30370</v>
      </c>
      <c r="N151" s="9">
        <v>29510</v>
      </c>
      <c r="O151" s="9">
        <v>28740</v>
      </c>
      <c r="P151" s="9">
        <v>27550</v>
      </c>
      <c r="Q151" s="9">
        <v>26650</v>
      </c>
      <c r="R151" s="9">
        <v>26660</v>
      </c>
      <c r="S151" s="9">
        <v>26030</v>
      </c>
      <c r="T151" s="9">
        <v>26560</v>
      </c>
      <c r="U151" s="9">
        <v>26990</v>
      </c>
      <c r="V151" s="9">
        <v>27650</v>
      </c>
      <c r="W151" s="9">
        <v>27910</v>
      </c>
      <c r="X151" s="9">
        <v>28870</v>
      </c>
      <c r="Y151" s="9">
        <v>29220</v>
      </c>
      <c r="Z151" s="9">
        <v>29660</v>
      </c>
      <c r="AA151" s="9">
        <v>30680</v>
      </c>
      <c r="AB151" s="9">
        <v>31820</v>
      </c>
      <c r="AC151" s="9">
        <v>33290</v>
      </c>
      <c r="AD151" s="9">
        <v>35130</v>
      </c>
      <c r="AE151" s="9">
        <v>36810</v>
      </c>
      <c r="AF151" s="9">
        <v>38420</v>
      </c>
      <c r="AG151" s="9">
        <v>38170</v>
      </c>
      <c r="AH151" s="9">
        <v>38420</v>
      </c>
      <c r="AI151" s="9">
        <v>38210</v>
      </c>
      <c r="AJ151" s="9">
        <v>38460</v>
      </c>
      <c r="AK151" s="9">
        <v>38460</v>
      </c>
      <c r="AL151" s="9">
        <v>37520</v>
      </c>
      <c r="AM151" s="9">
        <v>37110</v>
      </c>
      <c r="AN151" s="9">
        <v>36410</v>
      </c>
      <c r="AO151" s="9">
        <v>37170</v>
      </c>
      <c r="AP151" s="9">
        <v>36330</v>
      </c>
      <c r="AQ151" s="9">
        <v>34770</v>
      </c>
      <c r="AR151" s="9">
        <v>34980</v>
      </c>
      <c r="AS151" s="9">
        <v>35490</v>
      </c>
      <c r="AT151" s="9">
        <v>35240</v>
      </c>
      <c r="AU151" s="9">
        <v>35700</v>
      </c>
      <c r="AV151" s="9">
        <v>37240</v>
      </c>
      <c r="AW151" s="9">
        <v>38470</v>
      </c>
      <c r="AX151" s="9">
        <v>38690</v>
      </c>
      <c r="AY151" s="9">
        <v>38780</v>
      </c>
      <c r="AZ151" s="9">
        <v>37870</v>
      </c>
      <c r="BA151" s="9">
        <v>37330</v>
      </c>
      <c r="BB151" s="9">
        <v>36800</v>
      </c>
      <c r="BC151" s="9">
        <v>36040</v>
      </c>
      <c r="BD151" s="9">
        <v>35550</v>
      </c>
      <c r="BE151" s="9">
        <v>35940</v>
      </c>
      <c r="BF151" s="9">
        <v>36270</v>
      </c>
      <c r="BG151" s="9">
        <v>36560</v>
      </c>
      <c r="BH151" s="9">
        <v>36850</v>
      </c>
      <c r="BI151" s="9">
        <v>37120</v>
      </c>
      <c r="BJ151" s="9">
        <v>37360</v>
      </c>
      <c r="BK151" s="9">
        <v>37580</v>
      </c>
      <c r="BL151" s="9">
        <v>37760</v>
      </c>
      <c r="BM151" s="9">
        <v>37910</v>
      </c>
      <c r="BN151" s="9">
        <v>38020</v>
      </c>
      <c r="BO151" s="9">
        <v>38100</v>
      </c>
    </row>
    <row r="152" spans="3:67" x14ac:dyDescent="0.2">
      <c r="C152" s="3">
        <v>43</v>
      </c>
      <c r="E152" s="9">
        <v>31940</v>
      </c>
      <c r="F152" s="9">
        <v>31630</v>
      </c>
      <c r="G152" s="9">
        <v>30470</v>
      </c>
      <c r="H152" s="9">
        <v>30040</v>
      </c>
      <c r="I152" s="9">
        <v>29760</v>
      </c>
      <c r="J152" s="9">
        <v>30010</v>
      </c>
      <c r="K152" s="9">
        <v>30300</v>
      </c>
      <c r="L152" s="9">
        <v>29990</v>
      </c>
      <c r="M152" s="9">
        <v>30780</v>
      </c>
      <c r="N152" s="9">
        <v>30610</v>
      </c>
      <c r="O152" s="9">
        <v>29620</v>
      </c>
      <c r="P152" s="9">
        <v>28740</v>
      </c>
      <c r="Q152" s="9">
        <v>27550</v>
      </c>
      <c r="R152" s="9">
        <v>26650</v>
      </c>
      <c r="S152" s="9">
        <v>26660</v>
      </c>
      <c r="T152" s="9">
        <v>26030</v>
      </c>
      <c r="U152" s="9">
        <v>26570</v>
      </c>
      <c r="V152" s="9">
        <v>26990</v>
      </c>
      <c r="W152" s="9">
        <v>27650</v>
      </c>
      <c r="X152" s="9">
        <v>27910</v>
      </c>
      <c r="Y152" s="9">
        <v>28870</v>
      </c>
      <c r="Z152" s="9">
        <v>29220</v>
      </c>
      <c r="AA152" s="9">
        <v>29670</v>
      </c>
      <c r="AB152" s="9">
        <v>30690</v>
      </c>
      <c r="AC152" s="9">
        <v>31820</v>
      </c>
      <c r="AD152" s="9">
        <v>33290</v>
      </c>
      <c r="AE152" s="9">
        <v>35130</v>
      </c>
      <c r="AF152" s="9">
        <v>36810</v>
      </c>
      <c r="AG152" s="9">
        <v>38420</v>
      </c>
      <c r="AH152" s="9">
        <v>38170</v>
      </c>
      <c r="AI152" s="9">
        <v>38420</v>
      </c>
      <c r="AJ152" s="9">
        <v>38210</v>
      </c>
      <c r="AK152" s="9">
        <v>38470</v>
      </c>
      <c r="AL152" s="9">
        <v>38460</v>
      </c>
      <c r="AM152" s="9">
        <v>37530</v>
      </c>
      <c r="AN152" s="9">
        <v>37110</v>
      </c>
      <c r="AO152" s="9">
        <v>36410</v>
      </c>
      <c r="AP152" s="9">
        <v>37180</v>
      </c>
      <c r="AQ152" s="9">
        <v>36340</v>
      </c>
      <c r="AR152" s="9">
        <v>34780</v>
      </c>
      <c r="AS152" s="9">
        <v>34990</v>
      </c>
      <c r="AT152" s="9">
        <v>35500</v>
      </c>
      <c r="AU152" s="9">
        <v>35250</v>
      </c>
      <c r="AV152" s="9">
        <v>35710</v>
      </c>
      <c r="AW152" s="9">
        <v>37250</v>
      </c>
      <c r="AX152" s="9">
        <v>38480</v>
      </c>
      <c r="AY152" s="9">
        <v>38700</v>
      </c>
      <c r="AZ152" s="9">
        <v>38790</v>
      </c>
      <c r="BA152" s="9">
        <v>37880</v>
      </c>
      <c r="BB152" s="9">
        <v>37340</v>
      </c>
      <c r="BC152" s="9">
        <v>36810</v>
      </c>
      <c r="BD152" s="9">
        <v>36050</v>
      </c>
      <c r="BE152" s="9">
        <v>35560</v>
      </c>
      <c r="BF152" s="9">
        <v>35950</v>
      </c>
      <c r="BG152" s="9">
        <v>36290</v>
      </c>
      <c r="BH152" s="9">
        <v>36580</v>
      </c>
      <c r="BI152" s="9">
        <v>36860</v>
      </c>
      <c r="BJ152" s="9">
        <v>37140</v>
      </c>
      <c r="BK152" s="9">
        <v>37380</v>
      </c>
      <c r="BL152" s="9">
        <v>37590</v>
      </c>
      <c r="BM152" s="9">
        <v>37780</v>
      </c>
      <c r="BN152" s="9">
        <v>37920</v>
      </c>
      <c r="BO152" s="9">
        <v>38040</v>
      </c>
    </row>
    <row r="153" spans="3:67" x14ac:dyDescent="0.2">
      <c r="C153" s="3">
        <v>44</v>
      </c>
      <c r="E153" s="9">
        <v>32110</v>
      </c>
      <c r="F153" s="9">
        <v>31970</v>
      </c>
      <c r="G153" s="9">
        <v>31540</v>
      </c>
      <c r="H153" s="9">
        <v>30420</v>
      </c>
      <c r="I153" s="9">
        <v>30060</v>
      </c>
      <c r="J153" s="9">
        <v>29670</v>
      </c>
      <c r="K153" s="9">
        <v>29920</v>
      </c>
      <c r="L153" s="9">
        <v>30260</v>
      </c>
      <c r="M153" s="9">
        <v>30120</v>
      </c>
      <c r="N153" s="9">
        <v>30990</v>
      </c>
      <c r="O153" s="9">
        <v>30690</v>
      </c>
      <c r="P153" s="9">
        <v>29600</v>
      </c>
      <c r="Q153" s="9">
        <v>28720</v>
      </c>
      <c r="R153" s="9">
        <v>27530</v>
      </c>
      <c r="S153" s="9">
        <v>26630</v>
      </c>
      <c r="T153" s="9">
        <v>26650</v>
      </c>
      <c r="U153" s="9">
        <v>26020</v>
      </c>
      <c r="V153" s="9">
        <v>26550</v>
      </c>
      <c r="W153" s="9">
        <v>26980</v>
      </c>
      <c r="X153" s="9">
        <v>27640</v>
      </c>
      <c r="Y153" s="9">
        <v>27900</v>
      </c>
      <c r="Z153" s="9">
        <v>28860</v>
      </c>
      <c r="AA153" s="9">
        <v>29210</v>
      </c>
      <c r="AB153" s="9">
        <v>29650</v>
      </c>
      <c r="AC153" s="9">
        <v>30670</v>
      </c>
      <c r="AD153" s="9">
        <v>31810</v>
      </c>
      <c r="AE153" s="9">
        <v>33280</v>
      </c>
      <c r="AF153" s="9">
        <v>35110</v>
      </c>
      <c r="AG153" s="9">
        <v>36790</v>
      </c>
      <c r="AH153" s="9">
        <v>38400</v>
      </c>
      <c r="AI153" s="9">
        <v>38160</v>
      </c>
      <c r="AJ153" s="9">
        <v>38400</v>
      </c>
      <c r="AK153" s="9">
        <v>38200</v>
      </c>
      <c r="AL153" s="9">
        <v>38450</v>
      </c>
      <c r="AM153" s="9">
        <v>38440</v>
      </c>
      <c r="AN153" s="9">
        <v>37510</v>
      </c>
      <c r="AO153" s="9">
        <v>37100</v>
      </c>
      <c r="AP153" s="9">
        <v>36400</v>
      </c>
      <c r="AQ153" s="9">
        <v>37170</v>
      </c>
      <c r="AR153" s="9">
        <v>36330</v>
      </c>
      <c r="AS153" s="9">
        <v>34780</v>
      </c>
      <c r="AT153" s="9">
        <v>34980</v>
      </c>
      <c r="AU153" s="9">
        <v>35500</v>
      </c>
      <c r="AV153" s="9">
        <v>35240</v>
      </c>
      <c r="AW153" s="9">
        <v>35700</v>
      </c>
      <c r="AX153" s="9">
        <v>37240</v>
      </c>
      <c r="AY153" s="9">
        <v>38480</v>
      </c>
      <c r="AZ153" s="9">
        <v>38700</v>
      </c>
      <c r="BA153" s="9">
        <v>38780</v>
      </c>
      <c r="BB153" s="9">
        <v>37870</v>
      </c>
      <c r="BC153" s="9">
        <v>37340</v>
      </c>
      <c r="BD153" s="9">
        <v>36810</v>
      </c>
      <c r="BE153" s="9">
        <v>36050</v>
      </c>
      <c r="BF153" s="9">
        <v>35560</v>
      </c>
      <c r="BG153" s="9">
        <v>35950</v>
      </c>
      <c r="BH153" s="9">
        <v>36290</v>
      </c>
      <c r="BI153" s="9">
        <v>36580</v>
      </c>
      <c r="BJ153" s="9">
        <v>36860</v>
      </c>
      <c r="BK153" s="9">
        <v>37140</v>
      </c>
      <c r="BL153" s="9">
        <v>37380</v>
      </c>
      <c r="BM153" s="9">
        <v>37590</v>
      </c>
      <c r="BN153" s="9">
        <v>37780</v>
      </c>
      <c r="BO153" s="9">
        <v>37930</v>
      </c>
    </row>
    <row r="154" spans="3:67" x14ac:dyDescent="0.2">
      <c r="C154" s="3">
        <v>45</v>
      </c>
      <c r="E154" s="9">
        <v>31490</v>
      </c>
      <c r="F154" s="9">
        <v>32140</v>
      </c>
      <c r="G154" s="9">
        <v>31920</v>
      </c>
      <c r="H154" s="9">
        <v>31530</v>
      </c>
      <c r="I154" s="9">
        <v>30400</v>
      </c>
      <c r="J154" s="9">
        <v>29970</v>
      </c>
      <c r="K154" s="9">
        <v>29530</v>
      </c>
      <c r="L154" s="9">
        <v>29930</v>
      </c>
      <c r="M154" s="9">
        <v>30380</v>
      </c>
      <c r="N154" s="9">
        <v>30290</v>
      </c>
      <c r="O154" s="9">
        <v>31050</v>
      </c>
      <c r="P154" s="9">
        <v>30650</v>
      </c>
      <c r="Q154" s="9">
        <v>29560</v>
      </c>
      <c r="R154" s="9">
        <v>28680</v>
      </c>
      <c r="S154" s="9">
        <v>27500</v>
      </c>
      <c r="T154" s="9">
        <v>26600</v>
      </c>
      <c r="U154" s="9">
        <v>26620</v>
      </c>
      <c r="V154" s="9">
        <v>25990</v>
      </c>
      <c r="W154" s="9">
        <v>26530</v>
      </c>
      <c r="X154" s="9">
        <v>26950</v>
      </c>
      <c r="Y154" s="9">
        <v>27610</v>
      </c>
      <c r="Z154" s="9">
        <v>27870</v>
      </c>
      <c r="AA154" s="9">
        <v>28830</v>
      </c>
      <c r="AB154" s="9">
        <v>29190</v>
      </c>
      <c r="AC154" s="9">
        <v>29630</v>
      </c>
      <c r="AD154" s="9">
        <v>30650</v>
      </c>
      <c r="AE154" s="9">
        <v>31780</v>
      </c>
      <c r="AF154" s="9">
        <v>33250</v>
      </c>
      <c r="AG154" s="9">
        <v>35080</v>
      </c>
      <c r="AH154" s="9">
        <v>36760</v>
      </c>
      <c r="AI154" s="9">
        <v>38370</v>
      </c>
      <c r="AJ154" s="9">
        <v>38130</v>
      </c>
      <c r="AK154" s="9">
        <v>38380</v>
      </c>
      <c r="AL154" s="9">
        <v>38170</v>
      </c>
      <c r="AM154" s="9">
        <v>38420</v>
      </c>
      <c r="AN154" s="9">
        <v>38420</v>
      </c>
      <c r="AO154" s="9">
        <v>37490</v>
      </c>
      <c r="AP154" s="9">
        <v>37080</v>
      </c>
      <c r="AQ154" s="9">
        <v>36380</v>
      </c>
      <c r="AR154" s="9">
        <v>37140</v>
      </c>
      <c r="AS154" s="9">
        <v>36310</v>
      </c>
      <c r="AT154" s="9">
        <v>34760</v>
      </c>
      <c r="AU154" s="9">
        <v>34960</v>
      </c>
      <c r="AV154" s="9">
        <v>35480</v>
      </c>
      <c r="AW154" s="9">
        <v>35230</v>
      </c>
      <c r="AX154" s="9">
        <v>35690</v>
      </c>
      <c r="AY154" s="9">
        <v>37220</v>
      </c>
      <c r="AZ154" s="9">
        <v>38460</v>
      </c>
      <c r="BA154" s="9">
        <v>38680</v>
      </c>
      <c r="BB154" s="9">
        <v>38770</v>
      </c>
      <c r="BC154" s="9">
        <v>37860</v>
      </c>
      <c r="BD154" s="9">
        <v>37330</v>
      </c>
      <c r="BE154" s="9">
        <v>36800</v>
      </c>
      <c r="BF154" s="9">
        <v>36040</v>
      </c>
      <c r="BG154" s="9">
        <v>35550</v>
      </c>
      <c r="BH154" s="9">
        <v>35940</v>
      </c>
      <c r="BI154" s="9">
        <v>36280</v>
      </c>
      <c r="BJ154" s="9">
        <v>36570</v>
      </c>
      <c r="BK154" s="9">
        <v>36850</v>
      </c>
      <c r="BL154" s="9">
        <v>37130</v>
      </c>
      <c r="BM154" s="9">
        <v>37370</v>
      </c>
      <c r="BN154" s="9">
        <v>37590</v>
      </c>
      <c r="BO154" s="9">
        <v>37770</v>
      </c>
    </row>
    <row r="155" spans="3:67" x14ac:dyDescent="0.2">
      <c r="C155" s="3">
        <v>46</v>
      </c>
      <c r="E155" s="9">
        <v>30540</v>
      </c>
      <c r="F155" s="9">
        <v>31420</v>
      </c>
      <c r="G155" s="9">
        <v>32070</v>
      </c>
      <c r="H155" s="9">
        <v>31870</v>
      </c>
      <c r="I155" s="9">
        <v>31460</v>
      </c>
      <c r="J155" s="9">
        <v>30290</v>
      </c>
      <c r="K155" s="9">
        <v>29820</v>
      </c>
      <c r="L155" s="9">
        <v>29520</v>
      </c>
      <c r="M155" s="9">
        <v>29960</v>
      </c>
      <c r="N155" s="9">
        <v>30520</v>
      </c>
      <c r="O155" s="9">
        <v>30330</v>
      </c>
      <c r="P155" s="9">
        <v>30990</v>
      </c>
      <c r="Q155" s="9">
        <v>30600</v>
      </c>
      <c r="R155" s="9">
        <v>29510</v>
      </c>
      <c r="S155" s="9">
        <v>28630</v>
      </c>
      <c r="T155" s="9">
        <v>27450</v>
      </c>
      <c r="U155" s="9">
        <v>26560</v>
      </c>
      <c r="V155" s="9">
        <v>26580</v>
      </c>
      <c r="W155" s="9">
        <v>25950</v>
      </c>
      <c r="X155" s="9">
        <v>26490</v>
      </c>
      <c r="Y155" s="9">
        <v>26910</v>
      </c>
      <c r="Z155" s="9">
        <v>27570</v>
      </c>
      <c r="AA155" s="9">
        <v>27830</v>
      </c>
      <c r="AB155" s="9">
        <v>28790</v>
      </c>
      <c r="AC155" s="9">
        <v>29140</v>
      </c>
      <c r="AD155" s="9">
        <v>29590</v>
      </c>
      <c r="AE155" s="9">
        <v>30610</v>
      </c>
      <c r="AF155" s="9">
        <v>31740</v>
      </c>
      <c r="AG155" s="9">
        <v>33210</v>
      </c>
      <c r="AH155" s="9">
        <v>35040</v>
      </c>
      <c r="AI155" s="9">
        <v>36720</v>
      </c>
      <c r="AJ155" s="9">
        <v>38320</v>
      </c>
      <c r="AK155" s="9">
        <v>38080</v>
      </c>
      <c r="AL155" s="9">
        <v>38330</v>
      </c>
      <c r="AM155" s="9">
        <v>38130</v>
      </c>
      <c r="AN155" s="9">
        <v>38380</v>
      </c>
      <c r="AO155" s="9">
        <v>38380</v>
      </c>
      <c r="AP155" s="9">
        <v>37450</v>
      </c>
      <c r="AQ155" s="9">
        <v>37040</v>
      </c>
      <c r="AR155" s="9">
        <v>36350</v>
      </c>
      <c r="AS155" s="9">
        <v>37110</v>
      </c>
      <c r="AT155" s="9">
        <v>36270</v>
      </c>
      <c r="AU155" s="9">
        <v>34720</v>
      </c>
      <c r="AV155" s="9">
        <v>34930</v>
      </c>
      <c r="AW155" s="9">
        <v>35450</v>
      </c>
      <c r="AX155" s="9">
        <v>35200</v>
      </c>
      <c r="AY155" s="9">
        <v>35660</v>
      </c>
      <c r="AZ155" s="9">
        <v>37190</v>
      </c>
      <c r="BA155" s="9">
        <v>38430</v>
      </c>
      <c r="BB155" s="9">
        <v>38650</v>
      </c>
      <c r="BC155" s="9">
        <v>38740</v>
      </c>
      <c r="BD155" s="9">
        <v>37830</v>
      </c>
      <c r="BE155" s="9">
        <v>37300</v>
      </c>
      <c r="BF155" s="9">
        <v>36770</v>
      </c>
      <c r="BG155" s="9">
        <v>36010</v>
      </c>
      <c r="BH155" s="9">
        <v>35520</v>
      </c>
      <c r="BI155" s="9">
        <v>35920</v>
      </c>
      <c r="BJ155" s="9">
        <v>36250</v>
      </c>
      <c r="BK155" s="9">
        <v>36540</v>
      </c>
      <c r="BL155" s="9">
        <v>36830</v>
      </c>
      <c r="BM155" s="9">
        <v>37100</v>
      </c>
      <c r="BN155" s="9">
        <v>37350</v>
      </c>
      <c r="BO155" s="9">
        <v>37560</v>
      </c>
    </row>
    <row r="156" spans="3:67" x14ac:dyDescent="0.2">
      <c r="C156" s="3">
        <v>47</v>
      </c>
      <c r="E156" s="9">
        <v>30080</v>
      </c>
      <c r="F156" s="9">
        <v>30470</v>
      </c>
      <c r="G156" s="9">
        <v>31270</v>
      </c>
      <c r="H156" s="9">
        <v>31960</v>
      </c>
      <c r="I156" s="9">
        <v>31720</v>
      </c>
      <c r="J156" s="9">
        <v>31300</v>
      </c>
      <c r="K156" s="9">
        <v>30150</v>
      </c>
      <c r="L156" s="9">
        <v>29680</v>
      </c>
      <c r="M156" s="9">
        <v>29530</v>
      </c>
      <c r="N156" s="9">
        <v>30060</v>
      </c>
      <c r="O156" s="9">
        <v>30530</v>
      </c>
      <c r="P156" s="9">
        <v>30260</v>
      </c>
      <c r="Q156" s="9">
        <v>30920</v>
      </c>
      <c r="R156" s="9">
        <v>30520</v>
      </c>
      <c r="S156" s="9">
        <v>29440</v>
      </c>
      <c r="T156" s="9">
        <v>28560</v>
      </c>
      <c r="U156" s="9">
        <v>27390</v>
      </c>
      <c r="V156" s="9">
        <v>26500</v>
      </c>
      <c r="W156" s="9">
        <v>26510</v>
      </c>
      <c r="X156" s="9">
        <v>25890</v>
      </c>
      <c r="Y156" s="9">
        <v>26430</v>
      </c>
      <c r="Z156" s="9">
        <v>26850</v>
      </c>
      <c r="AA156" s="9">
        <v>27510</v>
      </c>
      <c r="AB156" s="9">
        <v>27770</v>
      </c>
      <c r="AC156" s="9">
        <v>28730</v>
      </c>
      <c r="AD156" s="9">
        <v>29080</v>
      </c>
      <c r="AE156" s="9">
        <v>29530</v>
      </c>
      <c r="AF156" s="9">
        <v>30550</v>
      </c>
      <c r="AG156" s="9">
        <v>31680</v>
      </c>
      <c r="AH156" s="9">
        <v>33150</v>
      </c>
      <c r="AI156" s="9">
        <v>34980</v>
      </c>
      <c r="AJ156" s="9">
        <v>36650</v>
      </c>
      <c r="AK156" s="9">
        <v>38260</v>
      </c>
      <c r="AL156" s="9">
        <v>38020</v>
      </c>
      <c r="AM156" s="9">
        <v>38270</v>
      </c>
      <c r="AN156" s="9">
        <v>38070</v>
      </c>
      <c r="AO156" s="9">
        <v>38320</v>
      </c>
      <c r="AP156" s="9">
        <v>38320</v>
      </c>
      <c r="AQ156" s="9">
        <v>37390</v>
      </c>
      <c r="AR156" s="9">
        <v>36980</v>
      </c>
      <c r="AS156" s="9">
        <v>36290</v>
      </c>
      <c r="AT156" s="9">
        <v>37050</v>
      </c>
      <c r="AU156" s="9">
        <v>36220</v>
      </c>
      <c r="AV156" s="9">
        <v>34670</v>
      </c>
      <c r="AW156" s="9">
        <v>34880</v>
      </c>
      <c r="AX156" s="9">
        <v>35400</v>
      </c>
      <c r="AY156" s="9">
        <v>35150</v>
      </c>
      <c r="AZ156" s="9">
        <v>35610</v>
      </c>
      <c r="BA156" s="9">
        <v>37140</v>
      </c>
      <c r="BB156" s="9">
        <v>38380</v>
      </c>
      <c r="BC156" s="9">
        <v>38600</v>
      </c>
      <c r="BD156" s="9">
        <v>38690</v>
      </c>
      <c r="BE156" s="9">
        <v>37780</v>
      </c>
      <c r="BF156" s="9">
        <v>37250</v>
      </c>
      <c r="BG156" s="9">
        <v>36720</v>
      </c>
      <c r="BH156" s="9">
        <v>35970</v>
      </c>
      <c r="BI156" s="9">
        <v>35480</v>
      </c>
      <c r="BJ156" s="9">
        <v>35870</v>
      </c>
      <c r="BK156" s="9">
        <v>36210</v>
      </c>
      <c r="BL156" s="9">
        <v>36500</v>
      </c>
      <c r="BM156" s="9">
        <v>36780</v>
      </c>
      <c r="BN156" s="9">
        <v>37060</v>
      </c>
      <c r="BO156" s="9">
        <v>37300</v>
      </c>
    </row>
    <row r="157" spans="3:67" x14ac:dyDescent="0.2">
      <c r="C157" s="3">
        <v>48</v>
      </c>
      <c r="E157" s="9">
        <v>28610</v>
      </c>
      <c r="F157" s="9">
        <v>30010</v>
      </c>
      <c r="G157" s="9">
        <v>30340</v>
      </c>
      <c r="H157" s="9">
        <v>31240</v>
      </c>
      <c r="I157" s="9">
        <v>31890</v>
      </c>
      <c r="J157" s="9">
        <v>31530</v>
      </c>
      <c r="K157" s="9">
        <v>31110</v>
      </c>
      <c r="L157" s="9">
        <v>30000</v>
      </c>
      <c r="M157" s="9">
        <v>29660</v>
      </c>
      <c r="N157" s="9">
        <v>29610</v>
      </c>
      <c r="O157" s="9">
        <v>30050</v>
      </c>
      <c r="P157" s="9">
        <v>30440</v>
      </c>
      <c r="Q157" s="9">
        <v>30170</v>
      </c>
      <c r="R157" s="9">
        <v>30820</v>
      </c>
      <c r="S157" s="9">
        <v>30430</v>
      </c>
      <c r="T157" s="9">
        <v>29350</v>
      </c>
      <c r="U157" s="9">
        <v>28480</v>
      </c>
      <c r="V157" s="9">
        <v>27310</v>
      </c>
      <c r="W157" s="9">
        <v>26420</v>
      </c>
      <c r="X157" s="9">
        <v>26440</v>
      </c>
      <c r="Y157" s="9">
        <v>25820</v>
      </c>
      <c r="Z157" s="9">
        <v>26350</v>
      </c>
      <c r="AA157" s="9">
        <v>26780</v>
      </c>
      <c r="AB157" s="9">
        <v>27430</v>
      </c>
      <c r="AC157" s="9">
        <v>27700</v>
      </c>
      <c r="AD157" s="9">
        <v>28660</v>
      </c>
      <c r="AE157" s="9">
        <v>29010</v>
      </c>
      <c r="AF157" s="9">
        <v>29460</v>
      </c>
      <c r="AG157" s="9">
        <v>30470</v>
      </c>
      <c r="AH157" s="9">
        <v>31610</v>
      </c>
      <c r="AI157" s="9">
        <v>33080</v>
      </c>
      <c r="AJ157" s="9">
        <v>34900</v>
      </c>
      <c r="AK157" s="9">
        <v>36580</v>
      </c>
      <c r="AL157" s="9">
        <v>38180</v>
      </c>
      <c r="AM157" s="9">
        <v>37950</v>
      </c>
      <c r="AN157" s="9">
        <v>38200</v>
      </c>
      <c r="AO157" s="9">
        <v>37990</v>
      </c>
      <c r="AP157" s="9">
        <v>38250</v>
      </c>
      <c r="AQ157" s="9">
        <v>38250</v>
      </c>
      <c r="AR157" s="9">
        <v>37320</v>
      </c>
      <c r="AS157" s="9">
        <v>36910</v>
      </c>
      <c r="AT157" s="9">
        <v>36220</v>
      </c>
      <c r="AU157" s="9">
        <v>36990</v>
      </c>
      <c r="AV157" s="9">
        <v>36150</v>
      </c>
      <c r="AW157" s="9">
        <v>34610</v>
      </c>
      <c r="AX157" s="9">
        <v>34820</v>
      </c>
      <c r="AY157" s="9">
        <v>35330</v>
      </c>
      <c r="AZ157" s="9">
        <v>35080</v>
      </c>
      <c r="BA157" s="9">
        <v>35550</v>
      </c>
      <c r="BB157" s="9">
        <v>37080</v>
      </c>
      <c r="BC157" s="9">
        <v>38320</v>
      </c>
      <c r="BD157" s="9">
        <v>38540</v>
      </c>
      <c r="BE157" s="9">
        <v>38630</v>
      </c>
      <c r="BF157" s="9">
        <v>37720</v>
      </c>
      <c r="BG157" s="9">
        <v>37190</v>
      </c>
      <c r="BH157" s="9">
        <v>36670</v>
      </c>
      <c r="BI157" s="9">
        <v>35910</v>
      </c>
      <c r="BJ157" s="9">
        <v>35430</v>
      </c>
      <c r="BK157" s="9">
        <v>35820</v>
      </c>
      <c r="BL157" s="9">
        <v>36150</v>
      </c>
      <c r="BM157" s="9">
        <v>36440</v>
      </c>
      <c r="BN157" s="9">
        <v>36730</v>
      </c>
      <c r="BO157" s="9">
        <v>37010</v>
      </c>
    </row>
    <row r="158" spans="3:67" x14ac:dyDescent="0.2">
      <c r="C158" s="3">
        <v>49</v>
      </c>
      <c r="E158" s="9">
        <v>28400</v>
      </c>
      <c r="F158" s="9">
        <v>28490</v>
      </c>
      <c r="G158" s="9">
        <v>29860</v>
      </c>
      <c r="H158" s="9">
        <v>30220</v>
      </c>
      <c r="I158" s="9">
        <v>31130</v>
      </c>
      <c r="J158" s="9">
        <v>31760</v>
      </c>
      <c r="K158" s="9">
        <v>31330</v>
      </c>
      <c r="L158" s="9">
        <v>30960</v>
      </c>
      <c r="M158" s="9">
        <v>29980</v>
      </c>
      <c r="N158" s="9">
        <v>29720</v>
      </c>
      <c r="O158" s="9">
        <v>29580</v>
      </c>
      <c r="P158" s="9">
        <v>29950</v>
      </c>
      <c r="Q158" s="9">
        <v>30330</v>
      </c>
      <c r="R158" s="9">
        <v>30060</v>
      </c>
      <c r="S158" s="9">
        <v>30720</v>
      </c>
      <c r="T158" s="9">
        <v>30340</v>
      </c>
      <c r="U158" s="9">
        <v>29260</v>
      </c>
      <c r="V158" s="9">
        <v>28390</v>
      </c>
      <c r="W158" s="9">
        <v>27220</v>
      </c>
      <c r="X158" s="9">
        <v>26330</v>
      </c>
      <c r="Y158" s="9">
        <v>26350</v>
      </c>
      <c r="Z158" s="9">
        <v>25730</v>
      </c>
      <c r="AA158" s="9">
        <v>26270</v>
      </c>
      <c r="AB158" s="9">
        <v>26690</v>
      </c>
      <c r="AC158" s="9">
        <v>27350</v>
      </c>
      <c r="AD158" s="9">
        <v>27620</v>
      </c>
      <c r="AE158" s="9">
        <v>28570</v>
      </c>
      <c r="AF158" s="9">
        <v>28930</v>
      </c>
      <c r="AG158" s="9">
        <v>29380</v>
      </c>
      <c r="AH158" s="9">
        <v>30390</v>
      </c>
      <c r="AI158" s="9">
        <v>31530</v>
      </c>
      <c r="AJ158" s="9">
        <v>32990</v>
      </c>
      <c r="AK158" s="9">
        <v>34820</v>
      </c>
      <c r="AL158" s="9">
        <v>36490</v>
      </c>
      <c r="AM158" s="9">
        <v>38100</v>
      </c>
      <c r="AN158" s="9">
        <v>37860</v>
      </c>
      <c r="AO158" s="9">
        <v>38110</v>
      </c>
      <c r="AP158" s="9">
        <v>37910</v>
      </c>
      <c r="AQ158" s="9">
        <v>38170</v>
      </c>
      <c r="AR158" s="9">
        <v>38170</v>
      </c>
      <c r="AS158" s="9">
        <v>37240</v>
      </c>
      <c r="AT158" s="9">
        <v>36840</v>
      </c>
      <c r="AU158" s="9">
        <v>36150</v>
      </c>
      <c r="AV158" s="9">
        <v>36910</v>
      </c>
      <c r="AW158" s="9">
        <v>36080</v>
      </c>
      <c r="AX158" s="9">
        <v>34540</v>
      </c>
      <c r="AY158" s="9">
        <v>34740</v>
      </c>
      <c r="AZ158" s="9">
        <v>35260</v>
      </c>
      <c r="BA158" s="9">
        <v>35010</v>
      </c>
      <c r="BB158" s="9">
        <v>35480</v>
      </c>
      <c r="BC158" s="9">
        <v>37010</v>
      </c>
      <c r="BD158" s="9">
        <v>38250</v>
      </c>
      <c r="BE158" s="9">
        <v>38470</v>
      </c>
      <c r="BF158" s="9">
        <v>38560</v>
      </c>
      <c r="BG158" s="9">
        <v>37650</v>
      </c>
      <c r="BH158" s="9">
        <v>37130</v>
      </c>
      <c r="BI158" s="9">
        <v>36600</v>
      </c>
      <c r="BJ158" s="9">
        <v>35850</v>
      </c>
      <c r="BK158" s="9">
        <v>35360</v>
      </c>
      <c r="BL158" s="9">
        <v>35750</v>
      </c>
      <c r="BM158" s="9">
        <v>36090</v>
      </c>
      <c r="BN158" s="9">
        <v>36380</v>
      </c>
      <c r="BO158" s="9">
        <v>36670</v>
      </c>
    </row>
    <row r="159" spans="3:67" x14ac:dyDescent="0.2">
      <c r="C159" s="3">
        <v>50</v>
      </c>
      <c r="E159" s="9">
        <v>27750</v>
      </c>
      <c r="F159" s="9">
        <v>28300</v>
      </c>
      <c r="G159" s="9">
        <v>28330</v>
      </c>
      <c r="H159" s="9">
        <v>29730</v>
      </c>
      <c r="I159" s="9">
        <v>30080</v>
      </c>
      <c r="J159" s="9">
        <v>30940</v>
      </c>
      <c r="K159" s="9">
        <v>31520</v>
      </c>
      <c r="L159" s="9">
        <v>31200</v>
      </c>
      <c r="M159" s="9">
        <v>30950</v>
      </c>
      <c r="N159" s="9">
        <v>30010</v>
      </c>
      <c r="O159" s="9">
        <v>29670</v>
      </c>
      <c r="P159" s="9">
        <v>29460</v>
      </c>
      <c r="Q159" s="9">
        <v>29840</v>
      </c>
      <c r="R159" s="9">
        <v>30220</v>
      </c>
      <c r="S159" s="9">
        <v>29950</v>
      </c>
      <c r="T159" s="9">
        <v>30610</v>
      </c>
      <c r="U159" s="9">
        <v>30230</v>
      </c>
      <c r="V159" s="9">
        <v>29150</v>
      </c>
      <c r="W159" s="9">
        <v>28290</v>
      </c>
      <c r="X159" s="9">
        <v>27120</v>
      </c>
      <c r="Y159" s="9">
        <v>26240</v>
      </c>
      <c r="Z159" s="9">
        <v>26260</v>
      </c>
      <c r="AA159" s="9">
        <v>25640</v>
      </c>
      <c r="AB159" s="9">
        <v>26180</v>
      </c>
      <c r="AC159" s="9">
        <v>26600</v>
      </c>
      <c r="AD159" s="9">
        <v>27260</v>
      </c>
      <c r="AE159" s="9">
        <v>27530</v>
      </c>
      <c r="AF159" s="9">
        <v>28480</v>
      </c>
      <c r="AG159" s="9">
        <v>28840</v>
      </c>
      <c r="AH159" s="9">
        <v>29290</v>
      </c>
      <c r="AI159" s="9">
        <v>30300</v>
      </c>
      <c r="AJ159" s="9">
        <v>31440</v>
      </c>
      <c r="AK159" s="9">
        <v>32900</v>
      </c>
      <c r="AL159" s="9">
        <v>34730</v>
      </c>
      <c r="AM159" s="9">
        <v>36400</v>
      </c>
      <c r="AN159" s="9">
        <v>38000</v>
      </c>
      <c r="AO159" s="9">
        <v>37770</v>
      </c>
      <c r="AP159" s="9">
        <v>38020</v>
      </c>
      <c r="AQ159" s="9">
        <v>37820</v>
      </c>
      <c r="AR159" s="9">
        <v>38080</v>
      </c>
      <c r="AS159" s="9">
        <v>38080</v>
      </c>
      <c r="AT159" s="9">
        <v>37160</v>
      </c>
      <c r="AU159" s="9">
        <v>36750</v>
      </c>
      <c r="AV159" s="9">
        <v>36060</v>
      </c>
      <c r="AW159" s="9">
        <v>36830</v>
      </c>
      <c r="AX159" s="9">
        <v>36000</v>
      </c>
      <c r="AY159" s="9">
        <v>34460</v>
      </c>
      <c r="AZ159" s="9">
        <v>34670</v>
      </c>
      <c r="BA159" s="9">
        <v>35190</v>
      </c>
      <c r="BB159" s="9">
        <v>34940</v>
      </c>
      <c r="BC159" s="9">
        <v>35400</v>
      </c>
      <c r="BD159" s="9">
        <v>36930</v>
      </c>
      <c r="BE159" s="9">
        <v>38170</v>
      </c>
      <c r="BF159" s="9">
        <v>38390</v>
      </c>
      <c r="BG159" s="9">
        <v>38480</v>
      </c>
      <c r="BH159" s="9">
        <v>37580</v>
      </c>
      <c r="BI159" s="9">
        <v>37050</v>
      </c>
      <c r="BJ159" s="9">
        <v>36530</v>
      </c>
      <c r="BK159" s="9">
        <v>35780</v>
      </c>
      <c r="BL159" s="9">
        <v>35290</v>
      </c>
      <c r="BM159" s="9">
        <v>35680</v>
      </c>
      <c r="BN159" s="9">
        <v>36020</v>
      </c>
      <c r="BO159" s="9">
        <v>36310</v>
      </c>
    </row>
    <row r="160" spans="3:67" x14ac:dyDescent="0.2">
      <c r="C160" s="3">
        <v>51</v>
      </c>
      <c r="E160" s="9">
        <v>26550</v>
      </c>
      <c r="F160" s="9">
        <v>27630</v>
      </c>
      <c r="G160" s="9">
        <v>28160</v>
      </c>
      <c r="H160" s="9">
        <v>28190</v>
      </c>
      <c r="I160" s="9">
        <v>29630</v>
      </c>
      <c r="J160" s="9">
        <v>29880</v>
      </c>
      <c r="K160" s="9">
        <v>30740</v>
      </c>
      <c r="L160" s="9">
        <v>31370</v>
      </c>
      <c r="M160" s="9">
        <v>31170</v>
      </c>
      <c r="N160" s="9">
        <v>30970</v>
      </c>
      <c r="O160" s="9">
        <v>29960</v>
      </c>
      <c r="P160" s="9">
        <v>29550</v>
      </c>
      <c r="Q160" s="9">
        <v>29350</v>
      </c>
      <c r="R160" s="9">
        <v>29720</v>
      </c>
      <c r="S160" s="9">
        <v>30100</v>
      </c>
      <c r="T160" s="9">
        <v>29840</v>
      </c>
      <c r="U160" s="9">
        <v>30500</v>
      </c>
      <c r="V160" s="9">
        <v>30120</v>
      </c>
      <c r="W160" s="9">
        <v>29040</v>
      </c>
      <c r="X160" s="9">
        <v>28180</v>
      </c>
      <c r="Y160" s="9">
        <v>27020</v>
      </c>
      <c r="Z160" s="9">
        <v>26140</v>
      </c>
      <c r="AA160" s="9">
        <v>26160</v>
      </c>
      <c r="AB160" s="9">
        <v>25550</v>
      </c>
      <c r="AC160" s="9">
        <v>26080</v>
      </c>
      <c r="AD160" s="9">
        <v>26510</v>
      </c>
      <c r="AE160" s="9">
        <v>27170</v>
      </c>
      <c r="AF160" s="9">
        <v>27430</v>
      </c>
      <c r="AG160" s="9">
        <v>28390</v>
      </c>
      <c r="AH160" s="9">
        <v>28750</v>
      </c>
      <c r="AI160" s="9">
        <v>29190</v>
      </c>
      <c r="AJ160" s="9">
        <v>30210</v>
      </c>
      <c r="AK160" s="9">
        <v>31340</v>
      </c>
      <c r="AL160" s="9">
        <v>32810</v>
      </c>
      <c r="AM160" s="9">
        <v>34630</v>
      </c>
      <c r="AN160" s="9">
        <v>36300</v>
      </c>
      <c r="AO160" s="9">
        <v>37900</v>
      </c>
      <c r="AP160" s="9">
        <v>37670</v>
      </c>
      <c r="AQ160" s="9">
        <v>37920</v>
      </c>
      <c r="AR160" s="9">
        <v>37730</v>
      </c>
      <c r="AS160" s="9">
        <v>37980</v>
      </c>
      <c r="AT160" s="9">
        <v>37980</v>
      </c>
      <c r="AU160" s="9">
        <v>37070</v>
      </c>
      <c r="AV160" s="9">
        <v>36660</v>
      </c>
      <c r="AW160" s="9">
        <v>35980</v>
      </c>
      <c r="AX160" s="9">
        <v>36740</v>
      </c>
      <c r="AY160" s="9">
        <v>35910</v>
      </c>
      <c r="AZ160" s="9">
        <v>34380</v>
      </c>
      <c r="BA160" s="9">
        <v>34580</v>
      </c>
      <c r="BB160" s="9">
        <v>35100</v>
      </c>
      <c r="BC160" s="9">
        <v>34860</v>
      </c>
      <c r="BD160" s="9">
        <v>35320</v>
      </c>
      <c r="BE160" s="9">
        <v>36850</v>
      </c>
      <c r="BF160" s="9">
        <v>38090</v>
      </c>
      <c r="BG160" s="9">
        <v>38310</v>
      </c>
      <c r="BH160" s="9">
        <v>38400</v>
      </c>
      <c r="BI160" s="9">
        <v>37500</v>
      </c>
      <c r="BJ160" s="9">
        <v>36980</v>
      </c>
      <c r="BK160" s="9">
        <v>36450</v>
      </c>
      <c r="BL160" s="9">
        <v>35700</v>
      </c>
      <c r="BM160" s="9">
        <v>35220</v>
      </c>
      <c r="BN160" s="9">
        <v>35610</v>
      </c>
      <c r="BO160" s="9">
        <v>35950</v>
      </c>
    </row>
    <row r="161" spans="3:67" x14ac:dyDescent="0.2">
      <c r="C161" s="3">
        <v>52</v>
      </c>
      <c r="E161" s="9">
        <v>25810</v>
      </c>
      <c r="F161" s="9">
        <v>26450</v>
      </c>
      <c r="G161" s="9">
        <v>27420</v>
      </c>
      <c r="H161" s="9">
        <v>27980</v>
      </c>
      <c r="I161" s="9">
        <v>28050</v>
      </c>
      <c r="J161" s="9">
        <v>29430</v>
      </c>
      <c r="K161" s="9">
        <v>29630</v>
      </c>
      <c r="L161" s="9">
        <v>30570</v>
      </c>
      <c r="M161" s="9">
        <v>31330</v>
      </c>
      <c r="N161" s="9">
        <v>31170</v>
      </c>
      <c r="O161" s="9">
        <v>30900</v>
      </c>
      <c r="P161" s="9">
        <v>29830</v>
      </c>
      <c r="Q161" s="9">
        <v>29430</v>
      </c>
      <c r="R161" s="9">
        <v>29220</v>
      </c>
      <c r="S161" s="9">
        <v>29600</v>
      </c>
      <c r="T161" s="9">
        <v>29980</v>
      </c>
      <c r="U161" s="9">
        <v>29720</v>
      </c>
      <c r="V161" s="9">
        <v>30380</v>
      </c>
      <c r="W161" s="9">
        <v>30000</v>
      </c>
      <c r="X161" s="9">
        <v>28930</v>
      </c>
      <c r="Y161" s="9">
        <v>28070</v>
      </c>
      <c r="Z161" s="9">
        <v>26920</v>
      </c>
      <c r="AA161" s="9">
        <v>26040</v>
      </c>
      <c r="AB161" s="9">
        <v>26060</v>
      </c>
      <c r="AC161" s="9">
        <v>25450</v>
      </c>
      <c r="AD161" s="9">
        <v>25990</v>
      </c>
      <c r="AE161" s="9">
        <v>26410</v>
      </c>
      <c r="AF161" s="9">
        <v>27070</v>
      </c>
      <c r="AG161" s="9">
        <v>27340</v>
      </c>
      <c r="AH161" s="9">
        <v>28290</v>
      </c>
      <c r="AI161" s="9">
        <v>28650</v>
      </c>
      <c r="AJ161" s="9">
        <v>29100</v>
      </c>
      <c r="AK161" s="9">
        <v>30110</v>
      </c>
      <c r="AL161" s="9">
        <v>31250</v>
      </c>
      <c r="AM161" s="9">
        <v>32710</v>
      </c>
      <c r="AN161" s="9">
        <v>34530</v>
      </c>
      <c r="AO161" s="9">
        <v>36200</v>
      </c>
      <c r="AP161" s="9">
        <v>37800</v>
      </c>
      <c r="AQ161" s="9">
        <v>37570</v>
      </c>
      <c r="AR161" s="9">
        <v>37830</v>
      </c>
      <c r="AS161" s="9">
        <v>37630</v>
      </c>
      <c r="AT161" s="9">
        <v>37890</v>
      </c>
      <c r="AU161" s="9">
        <v>37890</v>
      </c>
      <c r="AV161" s="9">
        <v>36980</v>
      </c>
      <c r="AW161" s="9">
        <v>36570</v>
      </c>
      <c r="AX161" s="9">
        <v>35890</v>
      </c>
      <c r="AY161" s="9">
        <v>36650</v>
      </c>
      <c r="AZ161" s="9">
        <v>35830</v>
      </c>
      <c r="BA161" s="9">
        <v>34290</v>
      </c>
      <c r="BB161" s="9">
        <v>34500</v>
      </c>
      <c r="BC161" s="9">
        <v>35020</v>
      </c>
      <c r="BD161" s="9">
        <v>34780</v>
      </c>
      <c r="BE161" s="9">
        <v>35240</v>
      </c>
      <c r="BF161" s="9">
        <v>36770</v>
      </c>
      <c r="BG161" s="9">
        <v>38010</v>
      </c>
      <c r="BH161" s="9">
        <v>38230</v>
      </c>
      <c r="BI161" s="9">
        <v>38320</v>
      </c>
      <c r="BJ161" s="9">
        <v>37420</v>
      </c>
      <c r="BK161" s="9">
        <v>36900</v>
      </c>
      <c r="BL161" s="9">
        <v>36380</v>
      </c>
      <c r="BM161" s="9">
        <v>35630</v>
      </c>
      <c r="BN161" s="9">
        <v>35140</v>
      </c>
      <c r="BO161" s="9">
        <v>35540</v>
      </c>
    </row>
    <row r="162" spans="3:67" x14ac:dyDescent="0.2">
      <c r="C162" s="3">
        <v>53</v>
      </c>
      <c r="E162" s="9">
        <v>25070</v>
      </c>
      <c r="F162" s="9">
        <v>25680</v>
      </c>
      <c r="G162" s="9">
        <v>26270</v>
      </c>
      <c r="H162" s="9">
        <v>27290</v>
      </c>
      <c r="I162" s="9">
        <v>27870</v>
      </c>
      <c r="J162" s="9">
        <v>27840</v>
      </c>
      <c r="K162" s="9">
        <v>29190</v>
      </c>
      <c r="L162" s="9">
        <v>29500</v>
      </c>
      <c r="M162" s="9">
        <v>30530</v>
      </c>
      <c r="N162" s="9">
        <v>31310</v>
      </c>
      <c r="O162" s="9">
        <v>31090</v>
      </c>
      <c r="P162" s="9">
        <v>30770</v>
      </c>
      <c r="Q162" s="9">
        <v>29700</v>
      </c>
      <c r="R162" s="9">
        <v>29300</v>
      </c>
      <c r="S162" s="9">
        <v>29100</v>
      </c>
      <c r="T162" s="9">
        <v>29470</v>
      </c>
      <c r="U162" s="9">
        <v>29860</v>
      </c>
      <c r="V162" s="9">
        <v>29600</v>
      </c>
      <c r="W162" s="9">
        <v>30260</v>
      </c>
      <c r="X162" s="9">
        <v>29880</v>
      </c>
      <c r="Y162" s="9">
        <v>28820</v>
      </c>
      <c r="Z162" s="9">
        <v>27960</v>
      </c>
      <c r="AA162" s="9">
        <v>26810</v>
      </c>
      <c r="AB162" s="9">
        <v>25940</v>
      </c>
      <c r="AC162" s="9">
        <v>25970</v>
      </c>
      <c r="AD162" s="9">
        <v>25360</v>
      </c>
      <c r="AE162" s="9">
        <v>25890</v>
      </c>
      <c r="AF162" s="9">
        <v>26320</v>
      </c>
      <c r="AG162" s="9">
        <v>26980</v>
      </c>
      <c r="AH162" s="9">
        <v>27240</v>
      </c>
      <c r="AI162" s="9">
        <v>28200</v>
      </c>
      <c r="AJ162" s="9">
        <v>28560</v>
      </c>
      <c r="AK162" s="9">
        <v>29000</v>
      </c>
      <c r="AL162" s="9">
        <v>30020</v>
      </c>
      <c r="AM162" s="9">
        <v>31150</v>
      </c>
      <c r="AN162" s="9">
        <v>32610</v>
      </c>
      <c r="AO162" s="9">
        <v>34430</v>
      </c>
      <c r="AP162" s="9">
        <v>36100</v>
      </c>
      <c r="AQ162" s="9">
        <v>37700</v>
      </c>
      <c r="AR162" s="9">
        <v>37470</v>
      </c>
      <c r="AS162" s="9">
        <v>37730</v>
      </c>
      <c r="AT162" s="9">
        <v>37530</v>
      </c>
      <c r="AU162" s="9">
        <v>37790</v>
      </c>
      <c r="AV162" s="9">
        <v>37800</v>
      </c>
      <c r="AW162" s="9">
        <v>36890</v>
      </c>
      <c r="AX162" s="9">
        <v>36480</v>
      </c>
      <c r="AY162" s="9">
        <v>35800</v>
      </c>
      <c r="AZ162" s="9">
        <v>36560</v>
      </c>
      <c r="BA162" s="9">
        <v>35740</v>
      </c>
      <c r="BB162" s="9">
        <v>34210</v>
      </c>
      <c r="BC162" s="9">
        <v>34420</v>
      </c>
      <c r="BD162" s="9">
        <v>34940</v>
      </c>
      <c r="BE162" s="9">
        <v>34700</v>
      </c>
      <c r="BF162" s="9">
        <v>35160</v>
      </c>
      <c r="BG162" s="9">
        <v>36690</v>
      </c>
      <c r="BH162" s="9">
        <v>37930</v>
      </c>
      <c r="BI162" s="9">
        <v>38150</v>
      </c>
      <c r="BJ162" s="9">
        <v>38240</v>
      </c>
      <c r="BK162" s="9">
        <v>37340</v>
      </c>
      <c r="BL162" s="9">
        <v>36820</v>
      </c>
      <c r="BM162" s="9">
        <v>36300</v>
      </c>
      <c r="BN162" s="9">
        <v>35560</v>
      </c>
      <c r="BO162" s="9">
        <v>35070</v>
      </c>
    </row>
    <row r="163" spans="3:67" x14ac:dyDescent="0.2">
      <c r="C163" s="3">
        <v>54</v>
      </c>
      <c r="E163" s="9">
        <v>24750</v>
      </c>
      <c r="F163" s="9">
        <v>24910</v>
      </c>
      <c r="G163" s="9">
        <v>25610</v>
      </c>
      <c r="H163" s="9">
        <v>26170</v>
      </c>
      <c r="I163" s="9">
        <v>27170</v>
      </c>
      <c r="J163" s="9">
        <v>27700</v>
      </c>
      <c r="K163" s="9">
        <v>27670</v>
      </c>
      <c r="L163" s="9">
        <v>29030</v>
      </c>
      <c r="M163" s="9">
        <v>29390</v>
      </c>
      <c r="N163" s="9">
        <v>30500</v>
      </c>
      <c r="O163" s="9">
        <v>31220</v>
      </c>
      <c r="P163" s="9">
        <v>30950</v>
      </c>
      <c r="Q163" s="9">
        <v>30640</v>
      </c>
      <c r="R163" s="9">
        <v>29570</v>
      </c>
      <c r="S163" s="9">
        <v>29170</v>
      </c>
      <c r="T163" s="9">
        <v>28980</v>
      </c>
      <c r="U163" s="9">
        <v>29350</v>
      </c>
      <c r="V163" s="9">
        <v>29740</v>
      </c>
      <c r="W163" s="9">
        <v>29480</v>
      </c>
      <c r="X163" s="9">
        <v>30140</v>
      </c>
      <c r="Y163" s="9">
        <v>29770</v>
      </c>
      <c r="Z163" s="9">
        <v>28710</v>
      </c>
      <c r="AA163" s="9">
        <v>27860</v>
      </c>
      <c r="AB163" s="9">
        <v>26710</v>
      </c>
      <c r="AC163" s="9">
        <v>25840</v>
      </c>
      <c r="AD163" s="9">
        <v>25870</v>
      </c>
      <c r="AE163" s="9">
        <v>25260</v>
      </c>
      <c r="AF163" s="9">
        <v>25800</v>
      </c>
      <c r="AG163" s="9">
        <v>26230</v>
      </c>
      <c r="AH163" s="9">
        <v>26880</v>
      </c>
      <c r="AI163" s="9">
        <v>27150</v>
      </c>
      <c r="AJ163" s="9">
        <v>28110</v>
      </c>
      <c r="AK163" s="9">
        <v>28470</v>
      </c>
      <c r="AL163" s="9">
        <v>28910</v>
      </c>
      <c r="AM163" s="9">
        <v>29930</v>
      </c>
      <c r="AN163" s="9">
        <v>31060</v>
      </c>
      <c r="AO163" s="9">
        <v>32520</v>
      </c>
      <c r="AP163" s="9">
        <v>34340</v>
      </c>
      <c r="AQ163" s="9">
        <v>36010</v>
      </c>
      <c r="AR163" s="9">
        <v>37610</v>
      </c>
      <c r="AS163" s="9">
        <v>37380</v>
      </c>
      <c r="AT163" s="9">
        <v>37640</v>
      </c>
      <c r="AU163" s="9">
        <v>37440</v>
      </c>
      <c r="AV163" s="9">
        <v>37700</v>
      </c>
      <c r="AW163" s="9">
        <v>37710</v>
      </c>
      <c r="AX163" s="9">
        <v>36800</v>
      </c>
      <c r="AY163" s="9">
        <v>36400</v>
      </c>
      <c r="AZ163" s="9">
        <v>35720</v>
      </c>
      <c r="BA163" s="9">
        <v>36480</v>
      </c>
      <c r="BB163" s="9">
        <v>35660</v>
      </c>
      <c r="BC163" s="9">
        <v>34130</v>
      </c>
      <c r="BD163" s="9">
        <v>34340</v>
      </c>
      <c r="BE163" s="9">
        <v>34860</v>
      </c>
      <c r="BF163" s="9">
        <v>34620</v>
      </c>
      <c r="BG163" s="9">
        <v>35090</v>
      </c>
      <c r="BH163" s="9">
        <v>36620</v>
      </c>
      <c r="BI163" s="9">
        <v>37850</v>
      </c>
      <c r="BJ163" s="9">
        <v>38080</v>
      </c>
      <c r="BK163" s="9">
        <v>38170</v>
      </c>
      <c r="BL163" s="9">
        <v>37270</v>
      </c>
      <c r="BM163" s="9">
        <v>36750</v>
      </c>
      <c r="BN163" s="9">
        <v>36230</v>
      </c>
      <c r="BO163" s="9">
        <v>35490</v>
      </c>
    </row>
    <row r="164" spans="3:67" x14ac:dyDescent="0.2">
      <c r="C164" s="3">
        <v>55</v>
      </c>
      <c r="E164" s="9">
        <v>24160</v>
      </c>
      <c r="F164" s="9">
        <v>24590</v>
      </c>
      <c r="G164" s="9">
        <v>24710</v>
      </c>
      <c r="H164" s="9">
        <v>25530</v>
      </c>
      <c r="I164" s="9">
        <v>26030</v>
      </c>
      <c r="J164" s="9">
        <v>26960</v>
      </c>
      <c r="K164" s="9">
        <v>27520</v>
      </c>
      <c r="L164" s="9">
        <v>27530</v>
      </c>
      <c r="M164" s="9">
        <v>28930</v>
      </c>
      <c r="N164" s="9">
        <v>29360</v>
      </c>
      <c r="O164" s="9">
        <v>30410</v>
      </c>
      <c r="P164" s="9">
        <v>31080</v>
      </c>
      <c r="Q164" s="9">
        <v>30820</v>
      </c>
      <c r="R164" s="9">
        <v>30500</v>
      </c>
      <c r="S164" s="9">
        <v>29450</v>
      </c>
      <c r="T164" s="9">
        <v>29050</v>
      </c>
      <c r="U164" s="9">
        <v>28860</v>
      </c>
      <c r="V164" s="9">
        <v>29230</v>
      </c>
      <c r="W164" s="9">
        <v>29620</v>
      </c>
      <c r="X164" s="9">
        <v>29370</v>
      </c>
      <c r="Y164" s="9">
        <v>30030</v>
      </c>
      <c r="Z164" s="9">
        <v>29660</v>
      </c>
      <c r="AA164" s="9">
        <v>28610</v>
      </c>
      <c r="AB164" s="9">
        <v>27760</v>
      </c>
      <c r="AC164" s="9">
        <v>26620</v>
      </c>
      <c r="AD164" s="9">
        <v>25750</v>
      </c>
      <c r="AE164" s="9">
        <v>25780</v>
      </c>
      <c r="AF164" s="9">
        <v>25180</v>
      </c>
      <c r="AG164" s="9">
        <v>25710</v>
      </c>
      <c r="AH164" s="9">
        <v>26140</v>
      </c>
      <c r="AI164" s="9">
        <v>26800</v>
      </c>
      <c r="AJ164" s="9">
        <v>27070</v>
      </c>
      <c r="AK164" s="9">
        <v>28020</v>
      </c>
      <c r="AL164" s="9">
        <v>28380</v>
      </c>
      <c r="AM164" s="9">
        <v>28830</v>
      </c>
      <c r="AN164" s="9">
        <v>29850</v>
      </c>
      <c r="AO164" s="9">
        <v>30980</v>
      </c>
      <c r="AP164" s="9">
        <v>32440</v>
      </c>
      <c r="AQ164" s="9">
        <v>34250</v>
      </c>
      <c r="AR164" s="9">
        <v>35920</v>
      </c>
      <c r="AS164" s="9">
        <v>37520</v>
      </c>
      <c r="AT164" s="9">
        <v>37290</v>
      </c>
      <c r="AU164" s="9">
        <v>37550</v>
      </c>
      <c r="AV164" s="9">
        <v>37360</v>
      </c>
      <c r="AW164" s="9">
        <v>37620</v>
      </c>
      <c r="AX164" s="9">
        <v>37630</v>
      </c>
      <c r="AY164" s="9">
        <v>36720</v>
      </c>
      <c r="AZ164" s="9">
        <v>36320</v>
      </c>
      <c r="BA164" s="9">
        <v>35640</v>
      </c>
      <c r="BB164" s="9">
        <v>36410</v>
      </c>
      <c r="BC164" s="9">
        <v>35590</v>
      </c>
      <c r="BD164" s="9">
        <v>34060</v>
      </c>
      <c r="BE164" s="9">
        <v>34270</v>
      </c>
      <c r="BF164" s="9">
        <v>34800</v>
      </c>
      <c r="BG164" s="9">
        <v>34550</v>
      </c>
      <c r="BH164" s="9">
        <v>35020</v>
      </c>
      <c r="BI164" s="9">
        <v>36550</v>
      </c>
      <c r="BJ164" s="9">
        <v>37780</v>
      </c>
      <c r="BK164" s="9">
        <v>38010</v>
      </c>
      <c r="BL164" s="9">
        <v>38100</v>
      </c>
      <c r="BM164" s="9">
        <v>37210</v>
      </c>
      <c r="BN164" s="9">
        <v>36690</v>
      </c>
      <c r="BO164" s="9">
        <v>36170</v>
      </c>
    </row>
    <row r="165" spans="3:67" x14ac:dyDescent="0.2">
      <c r="C165" s="3">
        <v>56</v>
      </c>
      <c r="E165" s="9">
        <v>24180</v>
      </c>
      <c r="F165" s="9">
        <v>24100</v>
      </c>
      <c r="G165" s="9">
        <v>24450</v>
      </c>
      <c r="H165" s="9">
        <v>24570</v>
      </c>
      <c r="I165" s="9">
        <v>25410</v>
      </c>
      <c r="J165" s="9">
        <v>25870</v>
      </c>
      <c r="K165" s="9">
        <v>26760</v>
      </c>
      <c r="L165" s="9">
        <v>27380</v>
      </c>
      <c r="M165" s="9">
        <v>27440</v>
      </c>
      <c r="N165" s="9">
        <v>28900</v>
      </c>
      <c r="O165" s="9">
        <v>29270</v>
      </c>
      <c r="P165" s="9">
        <v>30280</v>
      </c>
      <c r="Q165" s="9">
        <v>30950</v>
      </c>
      <c r="R165" s="9">
        <v>30690</v>
      </c>
      <c r="S165" s="9">
        <v>30380</v>
      </c>
      <c r="T165" s="9">
        <v>29320</v>
      </c>
      <c r="U165" s="9">
        <v>28940</v>
      </c>
      <c r="V165" s="9">
        <v>28740</v>
      </c>
      <c r="W165" s="9">
        <v>29120</v>
      </c>
      <c r="X165" s="9">
        <v>29510</v>
      </c>
      <c r="Y165" s="9">
        <v>29260</v>
      </c>
      <c r="Z165" s="9">
        <v>29920</v>
      </c>
      <c r="AA165" s="9">
        <v>29560</v>
      </c>
      <c r="AB165" s="9">
        <v>28510</v>
      </c>
      <c r="AC165" s="9">
        <v>27660</v>
      </c>
      <c r="AD165" s="9">
        <v>26530</v>
      </c>
      <c r="AE165" s="9">
        <v>25670</v>
      </c>
      <c r="AF165" s="9">
        <v>25700</v>
      </c>
      <c r="AG165" s="9">
        <v>25100</v>
      </c>
      <c r="AH165" s="9">
        <v>25630</v>
      </c>
      <c r="AI165" s="9">
        <v>26060</v>
      </c>
      <c r="AJ165" s="9">
        <v>26720</v>
      </c>
      <c r="AK165" s="9">
        <v>26990</v>
      </c>
      <c r="AL165" s="9">
        <v>27940</v>
      </c>
      <c r="AM165" s="9">
        <v>28300</v>
      </c>
      <c r="AN165" s="9">
        <v>28750</v>
      </c>
      <c r="AO165" s="9">
        <v>29770</v>
      </c>
      <c r="AP165" s="9">
        <v>30900</v>
      </c>
      <c r="AQ165" s="9">
        <v>32360</v>
      </c>
      <c r="AR165" s="9">
        <v>34170</v>
      </c>
      <c r="AS165" s="9">
        <v>35840</v>
      </c>
      <c r="AT165" s="9">
        <v>37430</v>
      </c>
      <c r="AU165" s="9">
        <v>37210</v>
      </c>
      <c r="AV165" s="9">
        <v>37470</v>
      </c>
      <c r="AW165" s="9">
        <v>37280</v>
      </c>
      <c r="AX165" s="9">
        <v>37540</v>
      </c>
      <c r="AY165" s="9">
        <v>37550</v>
      </c>
      <c r="AZ165" s="9">
        <v>36650</v>
      </c>
      <c r="BA165" s="9">
        <v>36250</v>
      </c>
      <c r="BB165" s="9">
        <v>35580</v>
      </c>
      <c r="BC165" s="9">
        <v>36340</v>
      </c>
      <c r="BD165" s="9">
        <v>35520</v>
      </c>
      <c r="BE165" s="9">
        <v>34000</v>
      </c>
      <c r="BF165" s="9">
        <v>34210</v>
      </c>
      <c r="BG165" s="9">
        <v>34730</v>
      </c>
      <c r="BH165" s="9">
        <v>34490</v>
      </c>
      <c r="BI165" s="9">
        <v>34960</v>
      </c>
      <c r="BJ165" s="9">
        <v>36490</v>
      </c>
      <c r="BK165" s="9">
        <v>37720</v>
      </c>
      <c r="BL165" s="9">
        <v>37950</v>
      </c>
      <c r="BM165" s="9">
        <v>38040</v>
      </c>
      <c r="BN165" s="9">
        <v>37150</v>
      </c>
      <c r="BO165" s="9">
        <v>36640</v>
      </c>
    </row>
    <row r="166" spans="3:67" x14ac:dyDescent="0.2">
      <c r="C166" s="3">
        <v>57</v>
      </c>
      <c r="E166" s="9">
        <v>23830</v>
      </c>
      <c r="F166" s="9">
        <v>24030</v>
      </c>
      <c r="G166" s="9">
        <v>23970</v>
      </c>
      <c r="H166" s="9">
        <v>24310</v>
      </c>
      <c r="I166" s="9">
        <v>24480</v>
      </c>
      <c r="J166" s="9">
        <v>25290</v>
      </c>
      <c r="K166" s="9">
        <v>25730</v>
      </c>
      <c r="L166" s="9">
        <v>26620</v>
      </c>
      <c r="M166" s="9">
        <v>27360</v>
      </c>
      <c r="N166" s="9">
        <v>27410</v>
      </c>
      <c r="O166" s="9">
        <v>28810</v>
      </c>
      <c r="P166" s="9">
        <v>29140</v>
      </c>
      <c r="Q166" s="9">
        <v>30150</v>
      </c>
      <c r="R166" s="9">
        <v>30820</v>
      </c>
      <c r="S166" s="9">
        <v>30560</v>
      </c>
      <c r="T166" s="9">
        <v>30260</v>
      </c>
      <c r="U166" s="9">
        <v>29210</v>
      </c>
      <c r="V166" s="9">
        <v>28830</v>
      </c>
      <c r="W166" s="9">
        <v>28640</v>
      </c>
      <c r="X166" s="9">
        <v>29020</v>
      </c>
      <c r="Y166" s="9">
        <v>29410</v>
      </c>
      <c r="Z166" s="9">
        <v>29160</v>
      </c>
      <c r="AA166" s="9">
        <v>29820</v>
      </c>
      <c r="AB166" s="9">
        <v>29460</v>
      </c>
      <c r="AC166" s="9">
        <v>28420</v>
      </c>
      <c r="AD166" s="9">
        <v>27580</v>
      </c>
      <c r="AE166" s="9">
        <v>26450</v>
      </c>
      <c r="AF166" s="9">
        <v>25590</v>
      </c>
      <c r="AG166" s="9">
        <v>25620</v>
      </c>
      <c r="AH166" s="9">
        <v>25020</v>
      </c>
      <c r="AI166" s="9">
        <v>25560</v>
      </c>
      <c r="AJ166" s="9">
        <v>25990</v>
      </c>
      <c r="AK166" s="9">
        <v>26650</v>
      </c>
      <c r="AL166" s="9">
        <v>26920</v>
      </c>
      <c r="AM166" s="9">
        <v>27870</v>
      </c>
      <c r="AN166" s="9">
        <v>28240</v>
      </c>
      <c r="AO166" s="9">
        <v>28680</v>
      </c>
      <c r="AP166" s="9">
        <v>29700</v>
      </c>
      <c r="AQ166" s="9">
        <v>30830</v>
      </c>
      <c r="AR166" s="9">
        <v>32290</v>
      </c>
      <c r="AS166" s="9">
        <v>34100</v>
      </c>
      <c r="AT166" s="9">
        <v>35760</v>
      </c>
      <c r="AU166" s="9">
        <v>37360</v>
      </c>
      <c r="AV166" s="9">
        <v>37140</v>
      </c>
      <c r="AW166" s="9">
        <v>37400</v>
      </c>
      <c r="AX166" s="9">
        <v>37210</v>
      </c>
      <c r="AY166" s="9">
        <v>37480</v>
      </c>
      <c r="AZ166" s="9">
        <v>37480</v>
      </c>
      <c r="BA166" s="9">
        <v>36580</v>
      </c>
      <c r="BB166" s="9">
        <v>36190</v>
      </c>
      <c r="BC166" s="9">
        <v>35520</v>
      </c>
      <c r="BD166" s="9">
        <v>36280</v>
      </c>
      <c r="BE166" s="9">
        <v>35470</v>
      </c>
      <c r="BF166" s="9">
        <v>33950</v>
      </c>
      <c r="BG166" s="9">
        <v>34160</v>
      </c>
      <c r="BH166" s="9">
        <v>34680</v>
      </c>
      <c r="BI166" s="9">
        <v>34450</v>
      </c>
      <c r="BJ166" s="9">
        <v>34910</v>
      </c>
      <c r="BK166" s="9">
        <v>36440</v>
      </c>
      <c r="BL166" s="9">
        <v>37670</v>
      </c>
      <c r="BM166" s="9">
        <v>37900</v>
      </c>
      <c r="BN166" s="9">
        <v>38000</v>
      </c>
      <c r="BO166" s="9">
        <v>37110</v>
      </c>
    </row>
    <row r="167" spans="3:67" x14ac:dyDescent="0.2">
      <c r="C167" s="3">
        <v>58</v>
      </c>
      <c r="E167" s="9">
        <v>23890</v>
      </c>
      <c r="F167" s="9">
        <v>23710</v>
      </c>
      <c r="G167" s="9">
        <v>23900</v>
      </c>
      <c r="H167" s="9">
        <v>23870</v>
      </c>
      <c r="I167" s="9">
        <v>24240</v>
      </c>
      <c r="J167" s="9">
        <v>24350</v>
      </c>
      <c r="K167" s="9">
        <v>25160</v>
      </c>
      <c r="L167" s="9">
        <v>25610</v>
      </c>
      <c r="M167" s="9">
        <v>26570</v>
      </c>
      <c r="N167" s="9">
        <v>27340</v>
      </c>
      <c r="O167" s="9">
        <v>27340</v>
      </c>
      <c r="P167" s="9">
        <v>28690</v>
      </c>
      <c r="Q167" s="9">
        <v>29020</v>
      </c>
      <c r="R167" s="9">
        <v>30020</v>
      </c>
      <c r="S167" s="9">
        <v>30700</v>
      </c>
      <c r="T167" s="9">
        <v>30450</v>
      </c>
      <c r="U167" s="9">
        <v>30140</v>
      </c>
      <c r="V167" s="9">
        <v>29110</v>
      </c>
      <c r="W167" s="9">
        <v>28730</v>
      </c>
      <c r="X167" s="9">
        <v>28540</v>
      </c>
      <c r="Y167" s="9">
        <v>28920</v>
      </c>
      <c r="Z167" s="9">
        <v>29310</v>
      </c>
      <c r="AA167" s="9">
        <v>29070</v>
      </c>
      <c r="AB167" s="9">
        <v>29730</v>
      </c>
      <c r="AC167" s="9">
        <v>29370</v>
      </c>
      <c r="AD167" s="9">
        <v>28340</v>
      </c>
      <c r="AE167" s="9">
        <v>27500</v>
      </c>
      <c r="AF167" s="9">
        <v>26380</v>
      </c>
      <c r="AG167" s="9">
        <v>25520</v>
      </c>
      <c r="AH167" s="9">
        <v>25560</v>
      </c>
      <c r="AI167" s="9">
        <v>24960</v>
      </c>
      <c r="AJ167" s="9">
        <v>25500</v>
      </c>
      <c r="AK167" s="9">
        <v>25930</v>
      </c>
      <c r="AL167" s="9">
        <v>26590</v>
      </c>
      <c r="AM167" s="9">
        <v>26860</v>
      </c>
      <c r="AN167" s="9">
        <v>27820</v>
      </c>
      <c r="AO167" s="9">
        <v>28180</v>
      </c>
      <c r="AP167" s="9">
        <v>28630</v>
      </c>
      <c r="AQ167" s="9">
        <v>29640</v>
      </c>
      <c r="AR167" s="9">
        <v>30770</v>
      </c>
      <c r="AS167" s="9">
        <v>32230</v>
      </c>
      <c r="AT167" s="9">
        <v>34040</v>
      </c>
      <c r="AU167" s="9">
        <v>35700</v>
      </c>
      <c r="AV167" s="9">
        <v>37300</v>
      </c>
      <c r="AW167" s="9">
        <v>37080</v>
      </c>
      <c r="AX167" s="9">
        <v>37340</v>
      </c>
      <c r="AY167" s="9">
        <v>37150</v>
      </c>
      <c r="AZ167" s="9">
        <v>37420</v>
      </c>
      <c r="BA167" s="9">
        <v>37430</v>
      </c>
      <c r="BB167" s="9">
        <v>36530</v>
      </c>
      <c r="BC167" s="9">
        <v>36140</v>
      </c>
      <c r="BD167" s="9">
        <v>35470</v>
      </c>
      <c r="BE167" s="9">
        <v>36240</v>
      </c>
      <c r="BF167" s="9">
        <v>35430</v>
      </c>
      <c r="BG167" s="9">
        <v>33910</v>
      </c>
      <c r="BH167" s="9">
        <v>34120</v>
      </c>
      <c r="BI167" s="9">
        <v>34650</v>
      </c>
      <c r="BJ167" s="9">
        <v>34410</v>
      </c>
      <c r="BK167" s="9">
        <v>34880</v>
      </c>
      <c r="BL167" s="9">
        <v>36400</v>
      </c>
      <c r="BM167" s="9">
        <v>37640</v>
      </c>
      <c r="BN167" s="9">
        <v>37870</v>
      </c>
      <c r="BO167" s="9">
        <v>37960</v>
      </c>
    </row>
    <row r="168" spans="3:67" x14ac:dyDescent="0.2">
      <c r="C168" s="3">
        <v>59</v>
      </c>
      <c r="E168" s="9">
        <v>24020</v>
      </c>
      <c r="F168" s="9">
        <v>23810</v>
      </c>
      <c r="G168" s="9">
        <v>23610</v>
      </c>
      <c r="H168" s="9">
        <v>23740</v>
      </c>
      <c r="I168" s="9">
        <v>23780</v>
      </c>
      <c r="J168" s="9">
        <v>24060</v>
      </c>
      <c r="K168" s="9">
        <v>24210</v>
      </c>
      <c r="L168" s="9">
        <v>25030</v>
      </c>
      <c r="M168" s="9">
        <v>25550</v>
      </c>
      <c r="N168" s="9">
        <v>26570</v>
      </c>
      <c r="O168" s="9">
        <v>27280</v>
      </c>
      <c r="P168" s="9">
        <v>27230</v>
      </c>
      <c r="Q168" s="9">
        <v>28570</v>
      </c>
      <c r="R168" s="9">
        <v>28910</v>
      </c>
      <c r="S168" s="9">
        <v>29910</v>
      </c>
      <c r="T168" s="9">
        <v>30580</v>
      </c>
      <c r="U168" s="9">
        <v>30330</v>
      </c>
      <c r="V168" s="9">
        <v>30040</v>
      </c>
      <c r="W168" s="9">
        <v>29010</v>
      </c>
      <c r="X168" s="9">
        <v>28630</v>
      </c>
      <c r="Y168" s="9">
        <v>28450</v>
      </c>
      <c r="Z168" s="9">
        <v>28830</v>
      </c>
      <c r="AA168" s="9">
        <v>29230</v>
      </c>
      <c r="AB168" s="9">
        <v>28990</v>
      </c>
      <c r="AC168" s="9">
        <v>29650</v>
      </c>
      <c r="AD168" s="9">
        <v>29300</v>
      </c>
      <c r="AE168" s="9">
        <v>28260</v>
      </c>
      <c r="AF168" s="9">
        <v>27440</v>
      </c>
      <c r="AG168" s="9">
        <v>26310</v>
      </c>
      <c r="AH168" s="9">
        <v>25470</v>
      </c>
      <c r="AI168" s="9">
        <v>25500</v>
      </c>
      <c r="AJ168" s="9">
        <v>24910</v>
      </c>
      <c r="AK168" s="9">
        <v>25450</v>
      </c>
      <c r="AL168" s="9">
        <v>25880</v>
      </c>
      <c r="AM168" s="9">
        <v>26540</v>
      </c>
      <c r="AN168" s="9">
        <v>26810</v>
      </c>
      <c r="AO168" s="9">
        <v>27770</v>
      </c>
      <c r="AP168" s="9">
        <v>28130</v>
      </c>
      <c r="AQ168" s="9">
        <v>28580</v>
      </c>
      <c r="AR168" s="9">
        <v>29600</v>
      </c>
      <c r="AS168" s="9">
        <v>30720</v>
      </c>
      <c r="AT168" s="9">
        <v>32180</v>
      </c>
      <c r="AU168" s="9">
        <v>33990</v>
      </c>
      <c r="AV168" s="9">
        <v>35650</v>
      </c>
      <c r="AW168" s="9">
        <v>37240</v>
      </c>
      <c r="AX168" s="9">
        <v>37030</v>
      </c>
      <c r="AY168" s="9">
        <v>37290</v>
      </c>
      <c r="AZ168" s="9">
        <v>37110</v>
      </c>
      <c r="BA168" s="9">
        <v>37380</v>
      </c>
      <c r="BB168" s="9">
        <v>37390</v>
      </c>
      <c r="BC168" s="9">
        <v>36490</v>
      </c>
      <c r="BD168" s="9">
        <v>36100</v>
      </c>
      <c r="BE168" s="9">
        <v>35440</v>
      </c>
      <c r="BF168" s="9">
        <v>36200</v>
      </c>
      <c r="BG168" s="9">
        <v>35390</v>
      </c>
      <c r="BH168" s="9">
        <v>33880</v>
      </c>
      <c r="BI168" s="9">
        <v>34100</v>
      </c>
      <c r="BJ168" s="9">
        <v>34620</v>
      </c>
      <c r="BK168" s="9">
        <v>34380</v>
      </c>
      <c r="BL168" s="9">
        <v>34850</v>
      </c>
      <c r="BM168" s="9">
        <v>36380</v>
      </c>
      <c r="BN168" s="9">
        <v>37610</v>
      </c>
      <c r="BO168" s="9">
        <v>37840</v>
      </c>
    </row>
    <row r="169" spans="3:67" x14ac:dyDescent="0.2">
      <c r="C169" s="3">
        <v>60</v>
      </c>
      <c r="E169" s="9">
        <v>20160</v>
      </c>
      <c r="F169" s="9">
        <v>23860</v>
      </c>
      <c r="G169" s="9">
        <v>23690</v>
      </c>
      <c r="H169" s="9">
        <v>23510</v>
      </c>
      <c r="I169" s="9">
        <v>23680</v>
      </c>
      <c r="J169" s="9">
        <v>23700</v>
      </c>
      <c r="K169" s="9">
        <v>23950</v>
      </c>
      <c r="L169" s="9">
        <v>24120</v>
      </c>
      <c r="M169" s="9">
        <v>24970</v>
      </c>
      <c r="N169" s="9">
        <v>25550</v>
      </c>
      <c r="O169" s="9">
        <v>26510</v>
      </c>
      <c r="P169" s="9">
        <v>27160</v>
      </c>
      <c r="Q169" s="9">
        <v>27120</v>
      </c>
      <c r="R169" s="9">
        <v>28460</v>
      </c>
      <c r="S169" s="9">
        <v>28790</v>
      </c>
      <c r="T169" s="9">
        <v>29790</v>
      </c>
      <c r="U169" s="9">
        <v>30470</v>
      </c>
      <c r="V169" s="9">
        <v>30220</v>
      </c>
      <c r="W169" s="9">
        <v>29930</v>
      </c>
      <c r="X169" s="9">
        <v>28910</v>
      </c>
      <c r="Y169" s="9">
        <v>28540</v>
      </c>
      <c r="Z169" s="9">
        <v>28360</v>
      </c>
      <c r="AA169" s="9">
        <v>28750</v>
      </c>
      <c r="AB169" s="9">
        <v>29140</v>
      </c>
      <c r="AC169" s="9">
        <v>28910</v>
      </c>
      <c r="AD169" s="9">
        <v>29570</v>
      </c>
      <c r="AE169" s="9">
        <v>29220</v>
      </c>
      <c r="AF169" s="9">
        <v>28200</v>
      </c>
      <c r="AG169" s="9">
        <v>27370</v>
      </c>
      <c r="AH169" s="9">
        <v>26260</v>
      </c>
      <c r="AI169" s="9">
        <v>25420</v>
      </c>
      <c r="AJ169" s="9">
        <v>25450</v>
      </c>
      <c r="AK169" s="9">
        <v>24870</v>
      </c>
      <c r="AL169" s="9">
        <v>25410</v>
      </c>
      <c r="AM169" s="9">
        <v>25840</v>
      </c>
      <c r="AN169" s="9">
        <v>26500</v>
      </c>
      <c r="AO169" s="9">
        <v>26770</v>
      </c>
      <c r="AP169" s="9">
        <v>27720</v>
      </c>
      <c r="AQ169" s="9">
        <v>28090</v>
      </c>
      <c r="AR169" s="9">
        <v>28540</v>
      </c>
      <c r="AS169" s="9">
        <v>29550</v>
      </c>
      <c r="AT169" s="9">
        <v>30680</v>
      </c>
      <c r="AU169" s="9">
        <v>32140</v>
      </c>
      <c r="AV169" s="9">
        <v>33940</v>
      </c>
      <c r="AW169" s="9">
        <v>35600</v>
      </c>
      <c r="AX169" s="9">
        <v>37200</v>
      </c>
      <c r="AY169" s="9">
        <v>36980</v>
      </c>
      <c r="AZ169" s="9">
        <v>37250</v>
      </c>
      <c r="BA169" s="9">
        <v>37070</v>
      </c>
      <c r="BB169" s="9">
        <v>37340</v>
      </c>
      <c r="BC169" s="9">
        <v>37350</v>
      </c>
      <c r="BD169" s="9">
        <v>36460</v>
      </c>
      <c r="BE169" s="9">
        <v>36070</v>
      </c>
      <c r="BF169" s="9">
        <v>35410</v>
      </c>
      <c r="BG169" s="9">
        <v>36170</v>
      </c>
      <c r="BH169" s="9">
        <v>35370</v>
      </c>
      <c r="BI169" s="9">
        <v>33860</v>
      </c>
      <c r="BJ169" s="9">
        <v>34080</v>
      </c>
      <c r="BK169" s="9">
        <v>34600</v>
      </c>
      <c r="BL169" s="9">
        <v>34370</v>
      </c>
      <c r="BM169" s="9">
        <v>34830</v>
      </c>
      <c r="BN169" s="9">
        <v>36360</v>
      </c>
      <c r="BO169" s="9">
        <v>37590</v>
      </c>
    </row>
    <row r="170" spans="3:67" x14ac:dyDescent="0.2">
      <c r="C170" s="3">
        <v>61</v>
      </c>
      <c r="E170" s="9">
        <v>19140</v>
      </c>
      <c r="F170" s="9">
        <v>20030</v>
      </c>
      <c r="G170" s="9">
        <v>23700</v>
      </c>
      <c r="H170" s="9">
        <v>23550</v>
      </c>
      <c r="I170" s="9">
        <v>23420</v>
      </c>
      <c r="J170" s="9">
        <v>23540</v>
      </c>
      <c r="K170" s="9">
        <v>23580</v>
      </c>
      <c r="L170" s="9">
        <v>23850</v>
      </c>
      <c r="M170" s="9">
        <v>24090</v>
      </c>
      <c r="N170" s="9">
        <v>24970</v>
      </c>
      <c r="O170" s="9">
        <v>25490</v>
      </c>
      <c r="P170" s="9">
        <v>26390</v>
      </c>
      <c r="Q170" s="9">
        <v>27040</v>
      </c>
      <c r="R170" s="9">
        <v>27000</v>
      </c>
      <c r="S170" s="9">
        <v>28340</v>
      </c>
      <c r="T170" s="9">
        <v>28680</v>
      </c>
      <c r="U170" s="9">
        <v>29680</v>
      </c>
      <c r="V170" s="9">
        <v>30350</v>
      </c>
      <c r="W170" s="9">
        <v>30110</v>
      </c>
      <c r="X170" s="9">
        <v>29830</v>
      </c>
      <c r="Y170" s="9">
        <v>28820</v>
      </c>
      <c r="Z170" s="9">
        <v>28450</v>
      </c>
      <c r="AA170" s="9">
        <v>28280</v>
      </c>
      <c r="AB170" s="9">
        <v>28660</v>
      </c>
      <c r="AC170" s="9">
        <v>29060</v>
      </c>
      <c r="AD170" s="9">
        <v>28830</v>
      </c>
      <c r="AE170" s="9">
        <v>29490</v>
      </c>
      <c r="AF170" s="9">
        <v>29150</v>
      </c>
      <c r="AG170" s="9">
        <v>28130</v>
      </c>
      <c r="AH170" s="9">
        <v>27310</v>
      </c>
      <c r="AI170" s="9">
        <v>26200</v>
      </c>
      <c r="AJ170" s="9">
        <v>25370</v>
      </c>
      <c r="AK170" s="9">
        <v>25410</v>
      </c>
      <c r="AL170" s="9">
        <v>24830</v>
      </c>
      <c r="AM170" s="9">
        <v>25370</v>
      </c>
      <c r="AN170" s="9">
        <v>25800</v>
      </c>
      <c r="AO170" s="9">
        <v>26460</v>
      </c>
      <c r="AP170" s="9">
        <v>26730</v>
      </c>
      <c r="AQ170" s="9">
        <v>27680</v>
      </c>
      <c r="AR170" s="9">
        <v>28050</v>
      </c>
      <c r="AS170" s="9">
        <v>28500</v>
      </c>
      <c r="AT170" s="9">
        <v>29520</v>
      </c>
      <c r="AU170" s="9">
        <v>30640</v>
      </c>
      <c r="AV170" s="9">
        <v>32100</v>
      </c>
      <c r="AW170" s="9">
        <v>33900</v>
      </c>
      <c r="AX170" s="9">
        <v>35560</v>
      </c>
      <c r="AY170" s="9">
        <v>37150</v>
      </c>
      <c r="AZ170" s="9">
        <v>36940</v>
      </c>
      <c r="BA170" s="9">
        <v>37210</v>
      </c>
      <c r="BB170" s="9">
        <v>37030</v>
      </c>
      <c r="BC170" s="9">
        <v>37300</v>
      </c>
      <c r="BD170" s="9">
        <v>37320</v>
      </c>
      <c r="BE170" s="9">
        <v>36430</v>
      </c>
      <c r="BF170" s="9">
        <v>36040</v>
      </c>
      <c r="BG170" s="9">
        <v>35380</v>
      </c>
      <c r="BH170" s="9">
        <v>36150</v>
      </c>
      <c r="BI170" s="9">
        <v>35350</v>
      </c>
      <c r="BJ170" s="9">
        <v>33840</v>
      </c>
      <c r="BK170" s="9">
        <v>34060</v>
      </c>
      <c r="BL170" s="9">
        <v>34590</v>
      </c>
      <c r="BM170" s="9">
        <v>34350</v>
      </c>
      <c r="BN170" s="9">
        <v>34820</v>
      </c>
      <c r="BO170" s="9">
        <v>36350</v>
      </c>
    </row>
    <row r="171" spans="3:67" x14ac:dyDescent="0.2">
      <c r="C171" s="3">
        <v>62</v>
      </c>
      <c r="E171" s="9">
        <v>18400</v>
      </c>
      <c r="F171" s="9">
        <v>19020</v>
      </c>
      <c r="G171" s="9">
        <v>19890</v>
      </c>
      <c r="H171" s="9">
        <v>23560</v>
      </c>
      <c r="I171" s="9">
        <v>23450</v>
      </c>
      <c r="J171" s="9">
        <v>23330</v>
      </c>
      <c r="K171" s="9">
        <v>23410</v>
      </c>
      <c r="L171" s="9">
        <v>23520</v>
      </c>
      <c r="M171" s="9">
        <v>23790</v>
      </c>
      <c r="N171" s="9">
        <v>24090</v>
      </c>
      <c r="O171" s="9">
        <v>24910</v>
      </c>
      <c r="P171" s="9">
        <v>25370</v>
      </c>
      <c r="Q171" s="9">
        <v>26270</v>
      </c>
      <c r="R171" s="9">
        <v>26930</v>
      </c>
      <c r="S171" s="9">
        <v>26890</v>
      </c>
      <c r="T171" s="9">
        <v>28220</v>
      </c>
      <c r="U171" s="9">
        <v>28560</v>
      </c>
      <c r="V171" s="9">
        <v>29560</v>
      </c>
      <c r="W171" s="9">
        <v>30240</v>
      </c>
      <c r="X171" s="9">
        <v>30010</v>
      </c>
      <c r="Y171" s="9">
        <v>29730</v>
      </c>
      <c r="Z171" s="9">
        <v>28720</v>
      </c>
      <c r="AA171" s="9">
        <v>28360</v>
      </c>
      <c r="AB171" s="9">
        <v>28200</v>
      </c>
      <c r="AC171" s="9">
        <v>28580</v>
      </c>
      <c r="AD171" s="9">
        <v>28980</v>
      </c>
      <c r="AE171" s="9">
        <v>28760</v>
      </c>
      <c r="AF171" s="9">
        <v>29420</v>
      </c>
      <c r="AG171" s="9">
        <v>29080</v>
      </c>
      <c r="AH171" s="9">
        <v>28070</v>
      </c>
      <c r="AI171" s="9">
        <v>27260</v>
      </c>
      <c r="AJ171" s="9">
        <v>26160</v>
      </c>
      <c r="AK171" s="9">
        <v>25330</v>
      </c>
      <c r="AL171" s="9">
        <v>25370</v>
      </c>
      <c r="AM171" s="9">
        <v>24790</v>
      </c>
      <c r="AN171" s="9">
        <v>25330</v>
      </c>
      <c r="AO171" s="9">
        <v>25760</v>
      </c>
      <c r="AP171" s="9">
        <v>26420</v>
      </c>
      <c r="AQ171" s="9">
        <v>26700</v>
      </c>
      <c r="AR171" s="9">
        <v>27650</v>
      </c>
      <c r="AS171" s="9">
        <v>28020</v>
      </c>
      <c r="AT171" s="9">
        <v>28480</v>
      </c>
      <c r="AU171" s="9">
        <v>29490</v>
      </c>
      <c r="AV171" s="9">
        <v>30610</v>
      </c>
      <c r="AW171" s="9">
        <v>32060</v>
      </c>
      <c r="AX171" s="9">
        <v>33870</v>
      </c>
      <c r="AY171" s="9">
        <v>35520</v>
      </c>
      <c r="AZ171" s="9">
        <v>37110</v>
      </c>
      <c r="BA171" s="9">
        <v>36910</v>
      </c>
      <c r="BB171" s="9">
        <v>37170</v>
      </c>
      <c r="BC171" s="9">
        <v>37000</v>
      </c>
      <c r="BD171" s="9">
        <v>37270</v>
      </c>
      <c r="BE171" s="9">
        <v>37290</v>
      </c>
      <c r="BF171" s="9">
        <v>36410</v>
      </c>
      <c r="BG171" s="9">
        <v>36030</v>
      </c>
      <c r="BH171" s="9">
        <v>35370</v>
      </c>
      <c r="BI171" s="9">
        <v>36130</v>
      </c>
      <c r="BJ171" s="9">
        <v>35340</v>
      </c>
      <c r="BK171" s="9">
        <v>33840</v>
      </c>
      <c r="BL171" s="9">
        <v>34050</v>
      </c>
      <c r="BM171" s="9">
        <v>34580</v>
      </c>
      <c r="BN171" s="9">
        <v>34350</v>
      </c>
      <c r="BO171" s="9">
        <v>34820</v>
      </c>
    </row>
    <row r="172" spans="3:67" x14ac:dyDescent="0.2">
      <c r="C172" s="3">
        <v>63</v>
      </c>
      <c r="E172" s="9">
        <v>16270</v>
      </c>
      <c r="F172" s="9">
        <v>18230</v>
      </c>
      <c r="G172" s="9">
        <v>18890</v>
      </c>
      <c r="H172" s="9">
        <v>19760</v>
      </c>
      <c r="I172" s="9">
        <v>23410</v>
      </c>
      <c r="J172" s="9">
        <v>23320</v>
      </c>
      <c r="K172" s="9">
        <v>23240</v>
      </c>
      <c r="L172" s="9">
        <v>23270</v>
      </c>
      <c r="M172" s="9">
        <v>23450</v>
      </c>
      <c r="N172" s="9">
        <v>23770</v>
      </c>
      <c r="O172" s="9">
        <v>24020</v>
      </c>
      <c r="P172" s="9">
        <v>24790</v>
      </c>
      <c r="Q172" s="9">
        <v>25260</v>
      </c>
      <c r="R172" s="9">
        <v>26150</v>
      </c>
      <c r="S172" s="9">
        <v>26810</v>
      </c>
      <c r="T172" s="9">
        <v>26780</v>
      </c>
      <c r="U172" s="9">
        <v>28110</v>
      </c>
      <c r="V172" s="9">
        <v>28450</v>
      </c>
      <c r="W172" s="9">
        <v>29450</v>
      </c>
      <c r="X172" s="9">
        <v>30120</v>
      </c>
      <c r="Y172" s="9">
        <v>29900</v>
      </c>
      <c r="Z172" s="9">
        <v>29630</v>
      </c>
      <c r="AA172" s="9">
        <v>28630</v>
      </c>
      <c r="AB172" s="9">
        <v>28280</v>
      </c>
      <c r="AC172" s="9">
        <v>28110</v>
      </c>
      <c r="AD172" s="9">
        <v>28510</v>
      </c>
      <c r="AE172" s="9">
        <v>28910</v>
      </c>
      <c r="AF172" s="9">
        <v>28680</v>
      </c>
      <c r="AG172" s="9">
        <v>29350</v>
      </c>
      <c r="AH172" s="9">
        <v>29010</v>
      </c>
      <c r="AI172" s="9">
        <v>28010</v>
      </c>
      <c r="AJ172" s="9">
        <v>27210</v>
      </c>
      <c r="AK172" s="9">
        <v>26110</v>
      </c>
      <c r="AL172" s="9">
        <v>25290</v>
      </c>
      <c r="AM172" s="9">
        <v>25330</v>
      </c>
      <c r="AN172" s="9">
        <v>24760</v>
      </c>
      <c r="AO172" s="9">
        <v>25300</v>
      </c>
      <c r="AP172" s="9">
        <v>25740</v>
      </c>
      <c r="AQ172" s="9">
        <v>26400</v>
      </c>
      <c r="AR172" s="9">
        <v>26670</v>
      </c>
      <c r="AS172" s="9">
        <v>27630</v>
      </c>
      <c r="AT172" s="9">
        <v>28000</v>
      </c>
      <c r="AU172" s="9">
        <v>28450</v>
      </c>
      <c r="AV172" s="9">
        <v>29460</v>
      </c>
      <c r="AW172" s="9">
        <v>30590</v>
      </c>
      <c r="AX172" s="9">
        <v>32040</v>
      </c>
      <c r="AY172" s="9">
        <v>33840</v>
      </c>
      <c r="AZ172" s="9">
        <v>35490</v>
      </c>
      <c r="BA172" s="9">
        <v>37080</v>
      </c>
      <c r="BB172" s="9">
        <v>36880</v>
      </c>
      <c r="BC172" s="9">
        <v>37150</v>
      </c>
      <c r="BD172" s="9">
        <v>36970</v>
      </c>
      <c r="BE172" s="9">
        <v>37250</v>
      </c>
      <c r="BF172" s="9">
        <v>37270</v>
      </c>
      <c r="BG172" s="9">
        <v>36390</v>
      </c>
      <c r="BH172" s="9">
        <v>36010</v>
      </c>
      <c r="BI172" s="9">
        <v>35360</v>
      </c>
      <c r="BJ172" s="9">
        <v>36120</v>
      </c>
      <c r="BK172" s="9">
        <v>35330</v>
      </c>
      <c r="BL172" s="9">
        <v>33830</v>
      </c>
      <c r="BM172" s="9">
        <v>34050</v>
      </c>
      <c r="BN172" s="9">
        <v>34580</v>
      </c>
      <c r="BO172" s="9">
        <v>34350</v>
      </c>
    </row>
    <row r="173" spans="3:67" x14ac:dyDescent="0.2">
      <c r="C173" s="3">
        <v>64</v>
      </c>
      <c r="E173" s="9">
        <v>17930</v>
      </c>
      <c r="F173" s="9">
        <v>16110</v>
      </c>
      <c r="G173" s="9">
        <v>18080</v>
      </c>
      <c r="H173" s="9">
        <v>18740</v>
      </c>
      <c r="I173" s="9">
        <v>19670</v>
      </c>
      <c r="J173" s="9">
        <v>23280</v>
      </c>
      <c r="K173" s="9">
        <v>23190</v>
      </c>
      <c r="L173" s="9">
        <v>23140</v>
      </c>
      <c r="M173" s="9">
        <v>23190</v>
      </c>
      <c r="N173" s="9">
        <v>23410</v>
      </c>
      <c r="O173" s="9">
        <v>23690</v>
      </c>
      <c r="P173" s="9">
        <v>23900</v>
      </c>
      <c r="Q173" s="9">
        <v>24660</v>
      </c>
      <c r="R173" s="9">
        <v>25130</v>
      </c>
      <c r="S173" s="9">
        <v>26020</v>
      </c>
      <c r="T173" s="9">
        <v>26680</v>
      </c>
      <c r="U173" s="9">
        <v>26650</v>
      </c>
      <c r="V173" s="9">
        <v>27980</v>
      </c>
      <c r="W173" s="9">
        <v>28330</v>
      </c>
      <c r="X173" s="9">
        <v>29320</v>
      </c>
      <c r="Y173" s="9">
        <v>30000</v>
      </c>
      <c r="Z173" s="9">
        <v>29780</v>
      </c>
      <c r="AA173" s="9">
        <v>29510</v>
      </c>
      <c r="AB173" s="9">
        <v>28530</v>
      </c>
      <c r="AC173" s="9">
        <v>28180</v>
      </c>
      <c r="AD173" s="9">
        <v>28030</v>
      </c>
      <c r="AE173" s="9">
        <v>28420</v>
      </c>
      <c r="AF173" s="9">
        <v>28820</v>
      </c>
      <c r="AG173" s="9">
        <v>28610</v>
      </c>
      <c r="AH173" s="9">
        <v>29270</v>
      </c>
      <c r="AI173" s="9">
        <v>28940</v>
      </c>
      <c r="AJ173" s="9">
        <v>27950</v>
      </c>
      <c r="AK173" s="9">
        <v>27150</v>
      </c>
      <c r="AL173" s="9">
        <v>26060</v>
      </c>
      <c r="AM173" s="9">
        <v>25250</v>
      </c>
      <c r="AN173" s="9">
        <v>25290</v>
      </c>
      <c r="AO173" s="9">
        <v>24730</v>
      </c>
      <c r="AP173" s="9">
        <v>25270</v>
      </c>
      <c r="AQ173" s="9">
        <v>25700</v>
      </c>
      <c r="AR173" s="9">
        <v>26360</v>
      </c>
      <c r="AS173" s="9">
        <v>26640</v>
      </c>
      <c r="AT173" s="9">
        <v>27590</v>
      </c>
      <c r="AU173" s="9">
        <v>27970</v>
      </c>
      <c r="AV173" s="9">
        <v>28420</v>
      </c>
      <c r="AW173" s="9">
        <v>29430</v>
      </c>
      <c r="AX173" s="9">
        <v>30560</v>
      </c>
      <c r="AY173" s="9">
        <v>32010</v>
      </c>
      <c r="AZ173" s="9">
        <v>33800</v>
      </c>
      <c r="BA173" s="9">
        <v>35460</v>
      </c>
      <c r="BB173" s="9">
        <v>37040</v>
      </c>
      <c r="BC173" s="9">
        <v>36840</v>
      </c>
      <c r="BD173" s="9">
        <v>37110</v>
      </c>
      <c r="BE173" s="9">
        <v>36950</v>
      </c>
      <c r="BF173" s="9">
        <v>37220</v>
      </c>
      <c r="BG173" s="9">
        <v>37240</v>
      </c>
      <c r="BH173" s="9">
        <v>36370</v>
      </c>
      <c r="BI173" s="9">
        <v>35990</v>
      </c>
      <c r="BJ173" s="9">
        <v>35340</v>
      </c>
      <c r="BK173" s="9">
        <v>36110</v>
      </c>
      <c r="BL173" s="9">
        <v>35320</v>
      </c>
      <c r="BM173" s="9">
        <v>33830</v>
      </c>
      <c r="BN173" s="9">
        <v>34050</v>
      </c>
      <c r="BO173" s="9">
        <v>34580</v>
      </c>
    </row>
    <row r="174" spans="3:67" x14ac:dyDescent="0.2">
      <c r="C174" s="3">
        <v>65</v>
      </c>
      <c r="E174" s="9">
        <v>17660</v>
      </c>
      <c r="F174" s="9">
        <v>17780</v>
      </c>
      <c r="G174" s="9">
        <v>15980</v>
      </c>
      <c r="H174" s="9">
        <v>17930</v>
      </c>
      <c r="I174" s="9">
        <v>18590</v>
      </c>
      <c r="J174" s="9">
        <v>19590</v>
      </c>
      <c r="K174" s="9">
        <v>23200</v>
      </c>
      <c r="L174" s="9">
        <v>23070</v>
      </c>
      <c r="M174" s="9">
        <v>23070</v>
      </c>
      <c r="N174" s="9">
        <v>23130</v>
      </c>
      <c r="O174" s="9">
        <v>23310</v>
      </c>
      <c r="P174" s="9">
        <v>23550</v>
      </c>
      <c r="Q174" s="9">
        <v>23750</v>
      </c>
      <c r="R174" s="9">
        <v>24520</v>
      </c>
      <c r="S174" s="9">
        <v>24990</v>
      </c>
      <c r="T174" s="9">
        <v>25880</v>
      </c>
      <c r="U174" s="9">
        <v>26540</v>
      </c>
      <c r="V174" s="9">
        <v>26520</v>
      </c>
      <c r="W174" s="9">
        <v>27840</v>
      </c>
      <c r="X174" s="9">
        <v>28190</v>
      </c>
      <c r="Y174" s="9">
        <v>29180</v>
      </c>
      <c r="Z174" s="9">
        <v>29860</v>
      </c>
      <c r="AA174" s="9">
        <v>29650</v>
      </c>
      <c r="AB174" s="9">
        <v>29390</v>
      </c>
      <c r="AC174" s="9">
        <v>28420</v>
      </c>
      <c r="AD174" s="9">
        <v>28080</v>
      </c>
      <c r="AE174" s="9">
        <v>27930</v>
      </c>
      <c r="AF174" s="9">
        <v>28320</v>
      </c>
      <c r="AG174" s="9">
        <v>28730</v>
      </c>
      <c r="AH174" s="9">
        <v>28520</v>
      </c>
      <c r="AI174" s="9">
        <v>29180</v>
      </c>
      <c r="AJ174" s="9">
        <v>28860</v>
      </c>
      <c r="AK174" s="9">
        <v>27870</v>
      </c>
      <c r="AL174" s="9">
        <v>27080</v>
      </c>
      <c r="AM174" s="9">
        <v>26010</v>
      </c>
      <c r="AN174" s="9">
        <v>25200</v>
      </c>
      <c r="AO174" s="9">
        <v>25250</v>
      </c>
      <c r="AP174" s="9">
        <v>24690</v>
      </c>
      <c r="AQ174" s="9">
        <v>25230</v>
      </c>
      <c r="AR174" s="9">
        <v>25660</v>
      </c>
      <c r="AS174" s="9">
        <v>26330</v>
      </c>
      <c r="AT174" s="9">
        <v>26610</v>
      </c>
      <c r="AU174" s="9">
        <v>27560</v>
      </c>
      <c r="AV174" s="9">
        <v>27930</v>
      </c>
      <c r="AW174" s="9">
        <v>28390</v>
      </c>
      <c r="AX174" s="9">
        <v>29400</v>
      </c>
      <c r="AY174" s="9">
        <v>30520</v>
      </c>
      <c r="AZ174" s="9">
        <v>31970</v>
      </c>
      <c r="BA174" s="9">
        <v>33760</v>
      </c>
      <c r="BB174" s="9">
        <v>35410</v>
      </c>
      <c r="BC174" s="9">
        <v>37000</v>
      </c>
      <c r="BD174" s="9">
        <v>36800</v>
      </c>
      <c r="BE174" s="9">
        <v>37080</v>
      </c>
      <c r="BF174" s="9">
        <v>36910</v>
      </c>
      <c r="BG174" s="9">
        <v>37190</v>
      </c>
      <c r="BH174" s="9">
        <v>37220</v>
      </c>
      <c r="BI174" s="9">
        <v>36350</v>
      </c>
      <c r="BJ174" s="9">
        <v>35970</v>
      </c>
      <c r="BK174" s="9">
        <v>35330</v>
      </c>
      <c r="BL174" s="9">
        <v>36100</v>
      </c>
      <c r="BM174" s="9">
        <v>35310</v>
      </c>
      <c r="BN174" s="9">
        <v>33820</v>
      </c>
      <c r="BO174" s="9">
        <v>34050</v>
      </c>
    </row>
    <row r="175" spans="3:67" x14ac:dyDescent="0.2">
      <c r="C175" s="3">
        <v>66</v>
      </c>
      <c r="E175" s="9">
        <v>16280</v>
      </c>
      <c r="F175" s="9">
        <v>17430</v>
      </c>
      <c r="G175" s="9">
        <v>17580</v>
      </c>
      <c r="H175" s="9">
        <v>15830</v>
      </c>
      <c r="I175" s="9">
        <v>17790</v>
      </c>
      <c r="J175" s="9">
        <v>18420</v>
      </c>
      <c r="K175" s="9">
        <v>19390</v>
      </c>
      <c r="L175" s="9">
        <v>23050</v>
      </c>
      <c r="M175" s="9">
        <v>22910</v>
      </c>
      <c r="N175" s="9">
        <v>22980</v>
      </c>
      <c r="O175" s="9">
        <v>22990</v>
      </c>
      <c r="P175" s="9">
        <v>23140</v>
      </c>
      <c r="Q175" s="9">
        <v>23380</v>
      </c>
      <c r="R175" s="9">
        <v>23600</v>
      </c>
      <c r="S175" s="9">
        <v>24360</v>
      </c>
      <c r="T175" s="9">
        <v>24830</v>
      </c>
      <c r="U175" s="9">
        <v>25720</v>
      </c>
      <c r="V175" s="9">
        <v>26380</v>
      </c>
      <c r="W175" s="9">
        <v>26370</v>
      </c>
      <c r="X175" s="9">
        <v>27680</v>
      </c>
      <c r="Y175" s="9">
        <v>28040</v>
      </c>
      <c r="Z175" s="9">
        <v>29030</v>
      </c>
      <c r="AA175" s="9">
        <v>29710</v>
      </c>
      <c r="AB175" s="9">
        <v>29510</v>
      </c>
      <c r="AC175" s="9">
        <v>29250</v>
      </c>
      <c r="AD175" s="9">
        <v>28290</v>
      </c>
      <c r="AE175" s="9">
        <v>27960</v>
      </c>
      <c r="AF175" s="9">
        <v>27810</v>
      </c>
      <c r="AG175" s="9">
        <v>28210</v>
      </c>
      <c r="AH175" s="9">
        <v>28620</v>
      </c>
      <c r="AI175" s="9">
        <v>28410</v>
      </c>
      <c r="AJ175" s="9">
        <v>29080</v>
      </c>
      <c r="AK175" s="9">
        <v>28760</v>
      </c>
      <c r="AL175" s="9">
        <v>27790</v>
      </c>
      <c r="AM175" s="9">
        <v>27010</v>
      </c>
      <c r="AN175" s="9">
        <v>25940</v>
      </c>
      <c r="AO175" s="9">
        <v>25140</v>
      </c>
      <c r="AP175" s="9">
        <v>25190</v>
      </c>
      <c r="AQ175" s="9">
        <v>24640</v>
      </c>
      <c r="AR175" s="9">
        <v>25180</v>
      </c>
      <c r="AS175" s="9">
        <v>25620</v>
      </c>
      <c r="AT175" s="9">
        <v>26280</v>
      </c>
      <c r="AU175" s="9">
        <v>26560</v>
      </c>
      <c r="AV175" s="9">
        <v>27510</v>
      </c>
      <c r="AW175" s="9">
        <v>27880</v>
      </c>
      <c r="AX175" s="9">
        <v>28340</v>
      </c>
      <c r="AY175" s="9">
        <v>29350</v>
      </c>
      <c r="AZ175" s="9">
        <v>30480</v>
      </c>
      <c r="BA175" s="9">
        <v>31920</v>
      </c>
      <c r="BB175" s="9">
        <v>33710</v>
      </c>
      <c r="BC175" s="9">
        <v>35360</v>
      </c>
      <c r="BD175" s="9">
        <v>36940</v>
      </c>
      <c r="BE175" s="9">
        <v>36750</v>
      </c>
      <c r="BF175" s="9">
        <v>37030</v>
      </c>
      <c r="BG175" s="9">
        <v>36870</v>
      </c>
      <c r="BH175" s="9">
        <v>37150</v>
      </c>
      <c r="BI175" s="9">
        <v>37180</v>
      </c>
      <c r="BJ175" s="9">
        <v>36310</v>
      </c>
      <c r="BK175" s="9">
        <v>35940</v>
      </c>
      <c r="BL175" s="9">
        <v>35300</v>
      </c>
      <c r="BM175" s="9">
        <v>36070</v>
      </c>
      <c r="BN175" s="9">
        <v>35290</v>
      </c>
      <c r="BO175" s="9">
        <v>33810</v>
      </c>
    </row>
    <row r="176" spans="3:67" x14ac:dyDescent="0.2">
      <c r="C176" s="3">
        <v>67</v>
      </c>
      <c r="E176" s="9">
        <v>14490</v>
      </c>
      <c r="F176" s="9">
        <v>16080</v>
      </c>
      <c r="G176" s="9">
        <v>17200</v>
      </c>
      <c r="H176" s="9">
        <v>17370</v>
      </c>
      <c r="I176" s="9">
        <v>15630</v>
      </c>
      <c r="J176" s="9">
        <v>17630</v>
      </c>
      <c r="K176" s="9">
        <v>18190</v>
      </c>
      <c r="L176" s="9">
        <v>19250</v>
      </c>
      <c r="M176" s="9">
        <v>22850</v>
      </c>
      <c r="N176" s="9">
        <v>22770</v>
      </c>
      <c r="O176" s="9">
        <v>22810</v>
      </c>
      <c r="P176" s="9">
        <v>22800</v>
      </c>
      <c r="Q176" s="9">
        <v>22950</v>
      </c>
      <c r="R176" s="9">
        <v>23200</v>
      </c>
      <c r="S176" s="9">
        <v>23410</v>
      </c>
      <c r="T176" s="9">
        <v>24180</v>
      </c>
      <c r="U176" s="9">
        <v>24650</v>
      </c>
      <c r="V176" s="9">
        <v>25540</v>
      </c>
      <c r="W176" s="9">
        <v>26200</v>
      </c>
      <c r="X176" s="9">
        <v>26190</v>
      </c>
      <c r="Y176" s="9">
        <v>27500</v>
      </c>
      <c r="Z176" s="9">
        <v>27860</v>
      </c>
      <c r="AA176" s="9">
        <v>28850</v>
      </c>
      <c r="AB176" s="9">
        <v>29530</v>
      </c>
      <c r="AC176" s="9">
        <v>29330</v>
      </c>
      <c r="AD176" s="9">
        <v>29090</v>
      </c>
      <c r="AE176" s="9">
        <v>28140</v>
      </c>
      <c r="AF176" s="9">
        <v>27820</v>
      </c>
      <c r="AG176" s="9">
        <v>27680</v>
      </c>
      <c r="AH176" s="9">
        <v>28080</v>
      </c>
      <c r="AI176" s="9">
        <v>28490</v>
      </c>
      <c r="AJ176" s="9">
        <v>28290</v>
      </c>
      <c r="AK176" s="9">
        <v>28960</v>
      </c>
      <c r="AL176" s="9">
        <v>28650</v>
      </c>
      <c r="AM176" s="9">
        <v>27680</v>
      </c>
      <c r="AN176" s="9">
        <v>26910</v>
      </c>
      <c r="AO176" s="9">
        <v>25850</v>
      </c>
      <c r="AP176" s="9">
        <v>25060</v>
      </c>
      <c r="AQ176" s="9">
        <v>25120</v>
      </c>
      <c r="AR176" s="9">
        <v>24570</v>
      </c>
      <c r="AS176" s="9">
        <v>25110</v>
      </c>
      <c r="AT176" s="9">
        <v>25550</v>
      </c>
      <c r="AU176" s="9">
        <v>26210</v>
      </c>
      <c r="AV176" s="9">
        <v>26500</v>
      </c>
      <c r="AW176" s="9">
        <v>27440</v>
      </c>
      <c r="AX176" s="9">
        <v>27820</v>
      </c>
      <c r="AY176" s="9">
        <v>28280</v>
      </c>
      <c r="AZ176" s="9">
        <v>29290</v>
      </c>
      <c r="BA176" s="9">
        <v>30410</v>
      </c>
      <c r="BB176" s="9">
        <v>31850</v>
      </c>
      <c r="BC176" s="9">
        <v>33640</v>
      </c>
      <c r="BD176" s="9">
        <v>35290</v>
      </c>
      <c r="BE176" s="9">
        <v>36870</v>
      </c>
      <c r="BF176" s="9">
        <v>36680</v>
      </c>
      <c r="BG176" s="9">
        <v>36960</v>
      </c>
      <c r="BH176" s="9">
        <v>36800</v>
      </c>
      <c r="BI176" s="9">
        <v>37090</v>
      </c>
      <c r="BJ176" s="9">
        <v>37120</v>
      </c>
      <c r="BK176" s="9">
        <v>36260</v>
      </c>
      <c r="BL176" s="9">
        <v>35890</v>
      </c>
      <c r="BM176" s="9">
        <v>35260</v>
      </c>
      <c r="BN176" s="9">
        <v>36030</v>
      </c>
      <c r="BO176" s="9">
        <v>35250</v>
      </c>
    </row>
    <row r="177" spans="3:67" x14ac:dyDescent="0.2">
      <c r="C177" s="3">
        <v>68</v>
      </c>
      <c r="E177" s="9">
        <v>13990</v>
      </c>
      <c r="F177" s="9">
        <v>14260</v>
      </c>
      <c r="G177" s="9">
        <v>15840</v>
      </c>
      <c r="H177" s="9">
        <v>16980</v>
      </c>
      <c r="I177" s="9">
        <v>17180</v>
      </c>
      <c r="J177" s="9">
        <v>15460</v>
      </c>
      <c r="K177" s="9">
        <v>17420</v>
      </c>
      <c r="L177" s="9">
        <v>18010</v>
      </c>
      <c r="M177" s="9">
        <v>19070</v>
      </c>
      <c r="N177" s="9">
        <v>22660</v>
      </c>
      <c r="O177" s="9">
        <v>22560</v>
      </c>
      <c r="P177" s="9">
        <v>22570</v>
      </c>
      <c r="Q177" s="9">
        <v>22570</v>
      </c>
      <c r="R177" s="9">
        <v>22730</v>
      </c>
      <c r="S177" s="9">
        <v>22980</v>
      </c>
      <c r="T177" s="9">
        <v>23200</v>
      </c>
      <c r="U177" s="9">
        <v>23960</v>
      </c>
      <c r="V177" s="9">
        <v>24440</v>
      </c>
      <c r="W177" s="9">
        <v>25320</v>
      </c>
      <c r="X177" s="9">
        <v>25980</v>
      </c>
      <c r="Y177" s="9">
        <v>25980</v>
      </c>
      <c r="Z177" s="9">
        <v>27290</v>
      </c>
      <c r="AA177" s="9">
        <v>27650</v>
      </c>
      <c r="AB177" s="9">
        <v>28640</v>
      </c>
      <c r="AC177" s="9">
        <v>29320</v>
      </c>
      <c r="AD177" s="9">
        <v>29130</v>
      </c>
      <c r="AE177" s="9">
        <v>28890</v>
      </c>
      <c r="AF177" s="9">
        <v>27960</v>
      </c>
      <c r="AG177" s="9">
        <v>27650</v>
      </c>
      <c r="AH177" s="9">
        <v>27510</v>
      </c>
      <c r="AI177" s="9">
        <v>27920</v>
      </c>
      <c r="AJ177" s="9">
        <v>28330</v>
      </c>
      <c r="AK177" s="9">
        <v>28140</v>
      </c>
      <c r="AL177" s="9">
        <v>28810</v>
      </c>
      <c r="AM177" s="9">
        <v>28500</v>
      </c>
      <c r="AN177" s="9">
        <v>27550</v>
      </c>
      <c r="AO177" s="9">
        <v>26790</v>
      </c>
      <c r="AP177" s="9">
        <v>25740</v>
      </c>
      <c r="AQ177" s="9">
        <v>24950</v>
      </c>
      <c r="AR177" s="9">
        <v>25020</v>
      </c>
      <c r="AS177" s="9">
        <v>24480</v>
      </c>
      <c r="AT177" s="9">
        <v>25020</v>
      </c>
      <c r="AU177" s="9">
        <v>25460</v>
      </c>
      <c r="AV177" s="9">
        <v>26120</v>
      </c>
      <c r="AW177" s="9">
        <v>26410</v>
      </c>
      <c r="AX177" s="9">
        <v>27360</v>
      </c>
      <c r="AY177" s="9">
        <v>27740</v>
      </c>
      <c r="AZ177" s="9">
        <v>28200</v>
      </c>
      <c r="BA177" s="9">
        <v>29200</v>
      </c>
      <c r="BB177" s="9">
        <v>30320</v>
      </c>
      <c r="BC177" s="9">
        <v>31760</v>
      </c>
      <c r="BD177" s="9">
        <v>33550</v>
      </c>
      <c r="BE177" s="9">
        <v>35190</v>
      </c>
      <c r="BF177" s="9">
        <v>36770</v>
      </c>
      <c r="BG177" s="9">
        <v>36590</v>
      </c>
      <c r="BH177" s="9">
        <v>36870</v>
      </c>
      <c r="BI177" s="9">
        <v>36720</v>
      </c>
      <c r="BJ177" s="9">
        <v>37000</v>
      </c>
      <c r="BK177" s="9">
        <v>37040</v>
      </c>
      <c r="BL177" s="9">
        <v>36190</v>
      </c>
      <c r="BM177" s="9">
        <v>35830</v>
      </c>
      <c r="BN177" s="9">
        <v>35190</v>
      </c>
      <c r="BO177" s="9">
        <v>35960</v>
      </c>
    </row>
    <row r="178" spans="3:67" x14ac:dyDescent="0.2">
      <c r="C178" s="3">
        <v>69</v>
      </c>
      <c r="E178" s="9">
        <v>13200</v>
      </c>
      <c r="F178" s="9">
        <v>13760</v>
      </c>
      <c r="G178" s="9">
        <v>14020</v>
      </c>
      <c r="H178" s="9">
        <v>15590</v>
      </c>
      <c r="I178" s="9">
        <v>16690</v>
      </c>
      <c r="J178" s="9">
        <v>16960</v>
      </c>
      <c r="K178" s="9">
        <v>15240</v>
      </c>
      <c r="L178" s="9">
        <v>17190</v>
      </c>
      <c r="M178" s="9">
        <v>17780</v>
      </c>
      <c r="N178" s="9">
        <v>18880</v>
      </c>
      <c r="O178" s="9">
        <v>22400</v>
      </c>
      <c r="P178" s="9">
        <v>22290</v>
      </c>
      <c r="Q178" s="9">
        <v>22310</v>
      </c>
      <c r="R178" s="9">
        <v>22320</v>
      </c>
      <c r="S178" s="9">
        <v>22480</v>
      </c>
      <c r="T178" s="9">
        <v>22730</v>
      </c>
      <c r="U178" s="9">
        <v>22960</v>
      </c>
      <c r="V178" s="9">
        <v>23720</v>
      </c>
      <c r="W178" s="9">
        <v>24200</v>
      </c>
      <c r="X178" s="9">
        <v>25080</v>
      </c>
      <c r="Y178" s="9">
        <v>25740</v>
      </c>
      <c r="Z178" s="9">
        <v>25750</v>
      </c>
      <c r="AA178" s="9">
        <v>27050</v>
      </c>
      <c r="AB178" s="9">
        <v>27410</v>
      </c>
      <c r="AC178" s="9">
        <v>28400</v>
      </c>
      <c r="AD178" s="9">
        <v>29080</v>
      </c>
      <c r="AE178" s="9">
        <v>28900</v>
      </c>
      <c r="AF178" s="9">
        <v>28680</v>
      </c>
      <c r="AG178" s="9">
        <v>27760</v>
      </c>
      <c r="AH178" s="9">
        <v>27450</v>
      </c>
      <c r="AI178" s="9">
        <v>27330</v>
      </c>
      <c r="AJ178" s="9">
        <v>27730</v>
      </c>
      <c r="AK178" s="9">
        <v>28150</v>
      </c>
      <c r="AL178" s="9">
        <v>27960</v>
      </c>
      <c r="AM178" s="9">
        <v>28630</v>
      </c>
      <c r="AN178" s="9">
        <v>28340</v>
      </c>
      <c r="AO178" s="9">
        <v>27400</v>
      </c>
      <c r="AP178" s="9">
        <v>26640</v>
      </c>
      <c r="AQ178" s="9">
        <v>25610</v>
      </c>
      <c r="AR178" s="9">
        <v>24830</v>
      </c>
      <c r="AS178" s="9">
        <v>24900</v>
      </c>
      <c r="AT178" s="9">
        <v>24370</v>
      </c>
      <c r="AU178" s="9">
        <v>24910</v>
      </c>
      <c r="AV178" s="9">
        <v>25350</v>
      </c>
      <c r="AW178" s="9">
        <v>26010</v>
      </c>
      <c r="AX178" s="9">
        <v>26310</v>
      </c>
      <c r="AY178" s="9">
        <v>27250</v>
      </c>
      <c r="AZ178" s="9">
        <v>27630</v>
      </c>
      <c r="BA178" s="9">
        <v>28090</v>
      </c>
      <c r="BB178" s="9">
        <v>29100</v>
      </c>
      <c r="BC178" s="9">
        <v>30220</v>
      </c>
      <c r="BD178" s="9">
        <v>31660</v>
      </c>
      <c r="BE178" s="9">
        <v>33440</v>
      </c>
      <c r="BF178" s="9">
        <v>35080</v>
      </c>
      <c r="BG178" s="9">
        <v>36650</v>
      </c>
      <c r="BH178" s="9">
        <v>36480</v>
      </c>
      <c r="BI178" s="9">
        <v>36760</v>
      </c>
      <c r="BJ178" s="9">
        <v>36610</v>
      </c>
      <c r="BK178" s="9">
        <v>36900</v>
      </c>
      <c r="BL178" s="9">
        <v>36940</v>
      </c>
      <c r="BM178" s="9">
        <v>36100</v>
      </c>
      <c r="BN178" s="9">
        <v>35740</v>
      </c>
      <c r="BO178" s="9">
        <v>35110</v>
      </c>
    </row>
    <row r="179" spans="3:67" x14ac:dyDescent="0.2">
      <c r="C179" s="3">
        <v>70</v>
      </c>
      <c r="E179" s="9">
        <v>12400</v>
      </c>
      <c r="F179" s="9">
        <v>12920</v>
      </c>
      <c r="G179" s="9">
        <v>13480</v>
      </c>
      <c r="H179" s="9">
        <v>13750</v>
      </c>
      <c r="I179" s="9">
        <v>15340</v>
      </c>
      <c r="J179" s="9">
        <v>16390</v>
      </c>
      <c r="K179" s="9">
        <v>16680</v>
      </c>
      <c r="L179" s="9">
        <v>14990</v>
      </c>
      <c r="M179" s="9">
        <v>16970</v>
      </c>
      <c r="N179" s="9">
        <v>17570</v>
      </c>
      <c r="O179" s="9">
        <v>18640</v>
      </c>
      <c r="P179" s="9">
        <v>22090</v>
      </c>
      <c r="Q179" s="9">
        <v>21990</v>
      </c>
      <c r="R179" s="9">
        <v>22020</v>
      </c>
      <c r="S179" s="9">
        <v>22030</v>
      </c>
      <c r="T179" s="9">
        <v>22210</v>
      </c>
      <c r="U179" s="9">
        <v>22460</v>
      </c>
      <c r="V179" s="9">
        <v>22700</v>
      </c>
      <c r="W179" s="9">
        <v>23450</v>
      </c>
      <c r="X179" s="9">
        <v>23930</v>
      </c>
      <c r="Y179" s="9">
        <v>24810</v>
      </c>
      <c r="Z179" s="9">
        <v>25470</v>
      </c>
      <c r="AA179" s="9">
        <v>25490</v>
      </c>
      <c r="AB179" s="9">
        <v>26780</v>
      </c>
      <c r="AC179" s="9">
        <v>27150</v>
      </c>
      <c r="AD179" s="9">
        <v>28130</v>
      </c>
      <c r="AE179" s="9">
        <v>28820</v>
      </c>
      <c r="AF179" s="9">
        <v>28650</v>
      </c>
      <c r="AG179" s="9">
        <v>28430</v>
      </c>
      <c r="AH179" s="9">
        <v>27530</v>
      </c>
      <c r="AI179" s="9">
        <v>27230</v>
      </c>
      <c r="AJ179" s="9">
        <v>27110</v>
      </c>
      <c r="AK179" s="9">
        <v>27520</v>
      </c>
      <c r="AL179" s="9">
        <v>27940</v>
      </c>
      <c r="AM179" s="9">
        <v>27770</v>
      </c>
      <c r="AN179" s="9">
        <v>28440</v>
      </c>
      <c r="AO179" s="9">
        <v>28150</v>
      </c>
      <c r="AP179" s="9">
        <v>27220</v>
      </c>
      <c r="AQ179" s="9">
        <v>26480</v>
      </c>
      <c r="AR179" s="9">
        <v>25460</v>
      </c>
      <c r="AS179" s="9">
        <v>24690</v>
      </c>
      <c r="AT179" s="9">
        <v>24760</v>
      </c>
      <c r="AU179" s="9">
        <v>24240</v>
      </c>
      <c r="AV179" s="9">
        <v>24780</v>
      </c>
      <c r="AW179" s="9">
        <v>25230</v>
      </c>
      <c r="AX179" s="9">
        <v>25890</v>
      </c>
      <c r="AY179" s="9">
        <v>26180</v>
      </c>
      <c r="AZ179" s="9">
        <v>27130</v>
      </c>
      <c r="BA179" s="9">
        <v>27510</v>
      </c>
      <c r="BB179" s="9">
        <v>27970</v>
      </c>
      <c r="BC179" s="9">
        <v>28980</v>
      </c>
      <c r="BD179" s="9">
        <v>30100</v>
      </c>
      <c r="BE179" s="9">
        <v>31530</v>
      </c>
      <c r="BF179" s="9">
        <v>33310</v>
      </c>
      <c r="BG179" s="9">
        <v>34940</v>
      </c>
      <c r="BH179" s="9">
        <v>36520</v>
      </c>
      <c r="BI179" s="9">
        <v>36350</v>
      </c>
      <c r="BJ179" s="9">
        <v>36630</v>
      </c>
      <c r="BK179" s="9">
        <v>36490</v>
      </c>
      <c r="BL179" s="9">
        <v>36780</v>
      </c>
      <c r="BM179" s="9">
        <v>36830</v>
      </c>
      <c r="BN179" s="9">
        <v>35990</v>
      </c>
      <c r="BO179" s="9">
        <v>35640</v>
      </c>
    </row>
    <row r="180" spans="3:67" x14ac:dyDescent="0.2">
      <c r="C180" s="3">
        <v>71</v>
      </c>
      <c r="E180" s="9">
        <v>11940</v>
      </c>
      <c r="F180" s="9">
        <v>12080</v>
      </c>
      <c r="G180" s="9">
        <v>12600</v>
      </c>
      <c r="H180" s="9">
        <v>13170</v>
      </c>
      <c r="I180" s="9">
        <v>13490</v>
      </c>
      <c r="J180" s="9">
        <v>15030</v>
      </c>
      <c r="K180" s="9">
        <v>16060</v>
      </c>
      <c r="L180" s="9">
        <v>16410</v>
      </c>
      <c r="M180" s="9">
        <v>14750</v>
      </c>
      <c r="N180" s="9">
        <v>16740</v>
      </c>
      <c r="O180" s="9">
        <v>17310</v>
      </c>
      <c r="P180" s="9">
        <v>18350</v>
      </c>
      <c r="Q180" s="9">
        <v>21760</v>
      </c>
      <c r="R180" s="9">
        <v>21660</v>
      </c>
      <c r="S180" s="9">
        <v>21700</v>
      </c>
      <c r="T180" s="9">
        <v>21730</v>
      </c>
      <c r="U180" s="9">
        <v>21900</v>
      </c>
      <c r="V180" s="9">
        <v>22170</v>
      </c>
      <c r="W180" s="9">
        <v>22400</v>
      </c>
      <c r="X180" s="9">
        <v>23160</v>
      </c>
      <c r="Y180" s="9">
        <v>23640</v>
      </c>
      <c r="Z180" s="9">
        <v>24520</v>
      </c>
      <c r="AA180" s="9">
        <v>25180</v>
      </c>
      <c r="AB180" s="9">
        <v>25200</v>
      </c>
      <c r="AC180" s="9">
        <v>26490</v>
      </c>
      <c r="AD180" s="9">
        <v>26860</v>
      </c>
      <c r="AE180" s="9">
        <v>27840</v>
      </c>
      <c r="AF180" s="9">
        <v>28530</v>
      </c>
      <c r="AG180" s="9">
        <v>28370</v>
      </c>
      <c r="AH180" s="9">
        <v>28160</v>
      </c>
      <c r="AI180" s="9">
        <v>27280</v>
      </c>
      <c r="AJ180" s="9">
        <v>26990</v>
      </c>
      <c r="AK180" s="9">
        <v>26880</v>
      </c>
      <c r="AL180" s="9">
        <v>27290</v>
      </c>
      <c r="AM180" s="9">
        <v>27720</v>
      </c>
      <c r="AN180" s="9">
        <v>27550</v>
      </c>
      <c r="AO180" s="9">
        <v>28220</v>
      </c>
      <c r="AP180" s="9">
        <v>27940</v>
      </c>
      <c r="AQ180" s="9">
        <v>27030</v>
      </c>
      <c r="AR180" s="9">
        <v>26300</v>
      </c>
      <c r="AS180" s="9">
        <v>25290</v>
      </c>
      <c r="AT180" s="9">
        <v>24540</v>
      </c>
      <c r="AU180" s="9">
        <v>24610</v>
      </c>
      <c r="AV180" s="9">
        <v>24090</v>
      </c>
      <c r="AW180" s="9">
        <v>24640</v>
      </c>
      <c r="AX180" s="9">
        <v>25080</v>
      </c>
      <c r="AY180" s="9">
        <v>25750</v>
      </c>
      <c r="AZ180" s="9">
        <v>26040</v>
      </c>
      <c r="BA180" s="9">
        <v>26990</v>
      </c>
      <c r="BB180" s="9">
        <v>27370</v>
      </c>
      <c r="BC180" s="9">
        <v>27840</v>
      </c>
      <c r="BD180" s="9">
        <v>28840</v>
      </c>
      <c r="BE180" s="9">
        <v>29960</v>
      </c>
      <c r="BF180" s="9">
        <v>31390</v>
      </c>
      <c r="BG180" s="9">
        <v>33160</v>
      </c>
      <c r="BH180" s="9">
        <v>34790</v>
      </c>
      <c r="BI180" s="9">
        <v>36360</v>
      </c>
      <c r="BJ180" s="9">
        <v>36200</v>
      </c>
      <c r="BK180" s="9">
        <v>36490</v>
      </c>
      <c r="BL180" s="9">
        <v>36350</v>
      </c>
      <c r="BM180" s="9">
        <v>36650</v>
      </c>
      <c r="BN180" s="9">
        <v>36690</v>
      </c>
      <c r="BO180" s="9">
        <v>35860</v>
      </c>
    </row>
    <row r="181" spans="3:67" x14ac:dyDescent="0.2">
      <c r="C181" s="3">
        <v>72</v>
      </c>
      <c r="E181" s="9">
        <v>11370</v>
      </c>
      <c r="F181" s="9">
        <v>11660</v>
      </c>
      <c r="G181" s="9">
        <v>11800</v>
      </c>
      <c r="H181" s="9">
        <v>12290</v>
      </c>
      <c r="I181" s="9">
        <v>12880</v>
      </c>
      <c r="J181" s="9">
        <v>13170</v>
      </c>
      <c r="K181" s="9">
        <v>14710</v>
      </c>
      <c r="L181" s="9">
        <v>15750</v>
      </c>
      <c r="M181" s="9">
        <v>16110</v>
      </c>
      <c r="N181" s="9">
        <v>14520</v>
      </c>
      <c r="O181" s="9">
        <v>16460</v>
      </c>
      <c r="P181" s="9">
        <v>17010</v>
      </c>
      <c r="Q181" s="9">
        <v>18040</v>
      </c>
      <c r="R181" s="9">
        <v>21390</v>
      </c>
      <c r="S181" s="9">
        <v>21310</v>
      </c>
      <c r="T181" s="9">
        <v>21360</v>
      </c>
      <c r="U181" s="9">
        <v>21390</v>
      </c>
      <c r="V181" s="9">
        <v>21580</v>
      </c>
      <c r="W181" s="9">
        <v>21850</v>
      </c>
      <c r="X181" s="9">
        <v>22090</v>
      </c>
      <c r="Y181" s="9">
        <v>22840</v>
      </c>
      <c r="Z181" s="9">
        <v>23330</v>
      </c>
      <c r="AA181" s="9">
        <v>24200</v>
      </c>
      <c r="AB181" s="9">
        <v>24860</v>
      </c>
      <c r="AC181" s="9">
        <v>24890</v>
      </c>
      <c r="AD181" s="9">
        <v>26170</v>
      </c>
      <c r="AE181" s="9">
        <v>26550</v>
      </c>
      <c r="AF181" s="9">
        <v>27530</v>
      </c>
      <c r="AG181" s="9">
        <v>28210</v>
      </c>
      <c r="AH181" s="9">
        <v>28060</v>
      </c>
      <c r="AI181" s="9">
        <v>27870</v>
      </c>
      <c r="AJ181" s="9">
        <v>27000</v>
      </c>
      <c r="AK181" s="9">
        <v>26730</v>
      </c>
      <c r="AL181" s="9">
        <v>26630</v>
      </c>
      <c r="AM181" s="9">
        <v>27040</v>
      </c>
      <c r="AN181" s="9">
        <v>27470</v>
      </c>
      <c r="AO181" s="9">
        <v>27310</v>
      </c>
      <c r="AP181" s="9">
        <v>27980</v>
      </c>
      <c r="AQ181" s="9">
        <v>27710</v>
      </c>
      <c r="AR181" s="9">
        <v>26810</v>
      </c>
      <c r="AS181" s="9">
        <v>26100</v>
      </c>
      <c r="AT181" s="9">
        <v>25100</v>
      </c>
      <c r="AU181" s="9">
        <v>24360</v>
      </c>
      <c r="AV181" s="9">
        <v>24440</v>
      </c>
      <c r="AW181" s="9">
        <v>23930</v>
      </c>
      <c r="AX181" s="9">
        <v>24480</v>
      </c>
      <c r="AY181" s="9">
        <v>24930</v>
      </c>
      <c r="AZ181" s="9">
        <v>25590</v>
      </c>
      <c r="BA181" s="9">
        <v>25890</v>
      </c>
      <c r="BB181" s="9">
        <v>26830</v>
      </c>
      <c r="BC181" s="9">
        <v>27220</v>
      </c>
      <c r="BD181" s="9">
        <v>27690</v>
      </c>
      <c r="BE181" s="9">
        <v>28690</v>
      </c>
      <c r="BF181" s="9">
        <v>29800</v>
      </c>
      <c r="BG181" s="9">
        <v>31230</v>
      </c>
      <c r="BH181" s="9">
        <v>33000</v>
      </c>
      <c r="BI181" s="9">
        <v>34620</v>
      </c>
      <c r="BJ181" s="9">
        <v>36190</v>
      </c>
      <c r="BK181" s="9">
        <v>36030</v>
      </c>
      <c r="BL181" s="9">
        <v>36330</v>
      </c>
      <c r="BM181" s="9">
        <v>36190</v>
      </c>
      <c r="BN181" s="9">
        <v>36490</v>
      </c>
      <c r="BO181" s="9">
        <v>36540</v>
      </c>
    </row>
    <row r="182" spans="3:67" x14ac:dyDescent="0.2">
      <c r="C182" s="3">
        <v>73</v>
      </c>
      <c r="E182" s="9">
        <v>10890</v>
      </c>
      <c r="F182" s="9">
        <v>11030</v>
      </c>
      <c r="G182" s="9">
        <v>11360</v>
      </c>
      <c r="H182" s="9">
        <v>11460</v>
      </c>
      <c r="I182" s="9">
        <v>11980</v>
      </c>
      <c r="J182" s="9">
        <v>12540</v>
      </c>
      <c r="K182" s="9">
        <v>12830</v>
      </c>
      <c r="L182" s="9">
        <v>14360</v>
      </c>
      <c r="M182" s="9">
        <v>15390</v>
      </c>
      <c r="N182" s="9">
        <v>15810</v>
      </c>
      <c r="O182" s="9">
        <v>14250</v>
      </c>
      <c r="P182" s="9">
        <v>16140</v>
      </c>
      <c r="Q182" s="9">
        <v>16690</v>
      </c>
      <c r="R182" s="9">
        <v>17710</v>
      </c>
      <c r="S182" s="9">
        <v>21000</v>
      </c>
      <c r="T182" s="9">
        <v>20930</v>
      </c>
      <c r="U182" s="9">
        <v>20990</v>
      </c>
      <c r="V182" s="9">
        <v>21040</v>
      </c>
      <c r="W182" s="9">
        <v>21230</v>
      </c>
      <c r="X182" s="9">
        <v>21500</v>
      </c>
      <c r="Y182" s="9">
        <v>21750</v>
      </c>
      <c r="Z182" s="9">
        <v>22500</v>
      </c>
      <c r="AA182" s="9">
        <v>22980</v>
      </c>
      <c r="AB182" s="9">
        <v>23850</v>
      </c>
      <c r="AC182" s="9">
        <v>24520</v>
      </c>
      <c r="AD182" s="9">
        <v>24560</v>
      </c>
      <c r="AE182" s="9">
        <v>25830</v>
      </c>
      <c r="AF182" s="9">
        <v>26210</v>
      </c>
      <c r="AG182" s="9">
        <v>27180</v>
      </c>
      <c r="AH182" s="9">
        <v>27870</v>
      </c>
      <c r="AI182" s="9">
        <v>27730</v>
      </c>
      <c r="AJ182" s="9">
        <v>27550</v>
      </c>
      <c r="AK182" s="9">
        <v>26700</v>
      </c>
      <c r="AL182" s="9">
        <v>26440</v>
      </c>
      <c r="AM182" s="9">
        <v>26350</v>
      </c>
      <c r="AN182" s="9">
        <v>26770</v>
      </c>
      <c r="AO182" s="9">
        <v>27190</v>
      </c>
      <c r="AP182" s="9">
        <v>27040</v>
      </c>
      <c r="AQ182" s="9">
        <v>27720</v>
      </c>
      <c r="AR182" s="9">
        <v>27460</v>
      </c>
      <c r="AS182" s="9">
        <v>26580</v>
      </c>
      <c r="AT182" s="9">
        <v>25870</v>
      </c>
      <c r="AU182" s="9">
        <v>24900</v>
      </c>
      <c r="AV182" s="9">
        <v>24170</v>
      </c>
      <c r="AW182" s="9">
        <v>24250</v>
      </c>
      <c r="AX182" s="9">
        <v>23750</v>
      </c>
      <c r="AY182" s="9">
        <v>24300</v>
      </c>
      <c r="AZ182" s="9">
        <v>24750</v>
      </c>
      <c r="BA182" s="9">
        <v>25410</v>
      </c>
      <c r="BB182" s="9">
        <v>25720</v>
      </c>
      <c r="BC182" s="9">
        <v>26660</v>
      </c>
      <c r="BD182" s="9">
        <v>27050</v>
      </c>
      <c r="BE182" s="9">
        <v>27520</v>
      </c>
      <c r="BF182" s="9">
        <v>28520</v>
      </c>
      <c r="BG182" s="9">
        <v>29630</v>
      </c>
      <c r="BH182" s="9">
        <v>31050</v>
      </c>
      <c r="BI182" s="9">
        <v>32810</v>
      </c>
      <c r="BJ182" s="9">
        <v>34440</v>
      </c>
      <c r="BK182" s="9">
        <v>36000</v>
      </c>
      <c r="BL182" s="9">
        <v>35850</v>
      </c>
      <c r="BM182" s="9">
        <v>36150</v>
      </c>
      <c r="BN182" s="9">
        <v>36020</v>
      </c>
      <c r="BO182" s="9">
        <v>36320</v>
      </c>
    </row>
    <row r="183" spans="3:67" x14ac:dyDescent="0.2">
      <c r="C183" s="3">
        <v>74</v>
      </c>
      <c r="E183" s="9">
        <v>10790</v>
      </c>
      <c r="F183" s="9">
        <v>10530</v>
      </c>
      <c r="G183" s="9">
        <v>10700</v>
      </c>
      <c r="H183" s="9">
        <v>11010</v>
      </c>
      <c r="I183" s="9">
        <v>11130</v>
      </c>
      <c r="J183" s="9">
        <v>11670</v>
      </c>
      <c r="K183" s="9">
        <v>12190</v>
      </c>
      <c r="L183" s="9">
        <v>12520</v>
      </c>
      <c r="M183" s="9">
        <v>14020</v>
      </c>
      <c r="N183" s="9">
        <v>15070</v>
      </c>
      <c r="O183" s="9">
        <v>15470</v>
      </c>
      <c r="P183" s="9">
        <v>13940</v>
      </c>
      <c r="Q183" s="9">
        <v>15790</v>
      </c>
      <c r="R183" s="9">
        <v>16340</v>
      </c>
      <c r="S183" s="9">
        <v>17350</v>
      </c>
      <c r="T183" s="9">
        <v>20580</v>
      </c>
      <c r="U183" s="9">
        <v>20530</v>
      </c>
      <c r="V183" s="9">
        <v>20600</v>
      </c>
      <c r="W183" s="9">
        <v>20650</v>
      </c>
      <c r="X183" s="9">
        <v>20850</v>
      </c>
      <c r="Y183" s="9">
        <v>21120</v>
      </c>
      <c r="Z183" s="9">
        <v>21380</v>
      </c>
      <c r="AA183" s="9">
        <v>22130</v>
      </c>
      <c r="AB183" s="9">
        <v>22610</v>
      </c>
      <c r="AC183" s="9">
        <v>23480</v>
      </c>
      <c r="AD183" s="9">
        <v>24140</v>
      </c>
      <c r="AE183" s="9">
        <v>24190</v>
      </c>
      <c r="AF183" s="9">
        <v>25450</v>
      </c>
      <c r="AG183" s="9">
        <v>25840</v>
      </c>
      <c r="AH183" s="9">
        <v>26810</v>
      </c>
      <c r="AI183" s="9">
        <v>27490</v>
      </c>
      <c r="AJ183" s="9">
        <v>27370</v>
      </c>
      <c r="AK183" s="9">
        <v>27200</v>
      </c>
      <c r="AL183" s="9">
        <v>26370</v>
      </c>
      <c r="AM183" s="9">
        <v>26120</v>
      </c>
      <c r="AN183" s="9">
        <v>26040</v>
      </c>
      <c r="AO183" s="9">
        <v>26460</v>
      </c>
      <c r="AP183" s="9">
        <v>26900</v>
      </c>
      <c r="AQ183" s="9">
        <v>26760</v>
      </c>
      <c r="AR183" s="9">
        <v>27430</v>
      </c>
      <c r="AS183" s="9">
        <v>27180</v>
      </c>
      <c r="AT183" s="9">
        <v>26320</v>
      </c>
      <c r="AU183" s="9">
        <v>25630</v>
      </c>
      <c r="AV183" s="9">
        <v>24670</v>
      </c>
      <c r="AW183" s="9">
        <v>23950</v>
      </c>
      <c r="AX183" s="9">
        <v>24040</v>
      </c>
      <c r="AY183" s="9">
        <v>23560</v>
      </c>
      <c r="AZ183" s="9">
        <v>24100</v>
      </c>
      <c r="BA183" s="9">
        <v>24560</v>
      </c>
      <c r="BB183" s="9">
        <v>25220</v>
      </c>
      <c r="BC183" s="9">
        <v>25520</v>
      </c>
      <c r="BD183" s="9">
        <v>26460</v>
      </c>
      <c r="BE183" s="9">
        <v>26850</v>
      </c>
      <c r="BF183" s="9">
        <v>27330</v>
      </c>
      <c r="BG183" s="9">
        <v>28330</v>
      </c>
      <c r="BH183" s="9">
        <v>29440</v>
      </c>
      <c r="BI183" s="9">
        <v>30850</v>
      </c>
      <c r="BJ183" s="9">
        <v>32610</v>
      </c>
      <c r="BK183" s="9">
        <v>34230</v>
      </c>
      <c r="BL183" s="9">
        <v>35790</v>
      </c>
      <c r="BM183" s="9">
        <v>35640</v>
      </c>
      <c r="BN183" s="9">
        <v>35940</v>
      </c>
      <c r="BO183" s="9">
        <v>35830</v>
      </c>
    </row>
    <row r="184" spans="3:67" x14ac:dyDescent="0.2">
      <c r="C184" s="3">
        <v>75</v>
      </c>
      <c r="E184" s="9">
        <v>10770</v>
      </c>
      <c r="F184" s="9">
        <v>10450</v>
      </c>
      <c r="G184" s="9">
        <v>10190</v>
      </c>
      <c r="H184" s="9">
        <v>10350</v>
      </c>
      <c r="I184" s="9">
        <v>10640</v>
      </c>
      <c r="J184" s="9">
        <v>10790</v>
      </c>
      <c r="K184" s="9">
        <v>11310</v>
      </c>
      <c r="L184" s="9">
        <v>11820</v>
      </c>
      <c r="M184" s="9">
        <v>12210</v>
      </c>
      <c r="N184" s="9">
        <v>13690</v>
      </c>
      <c r="O184" s="9">
        <v>14700</v>
      </c>
      <c r="P184" s="9">
        <v>15080</v>
      </c>
      <c r="Q184" s="9">
        <v>13610</v>
      </c>
      <c r="R184" s="9">
        <v>15420</v>
      </c>
      <c r="S184" s="9">
        <v>15970</v>
      </c>
      <c r="T184" s="9">
        <v>16960</v>
      </c>
      <c r="U184" s="9">
        <v>20130</v>
      </c>
      <c r="V184" s="9">
        <v>20090</v>
      </c>
      <c r="W184" s="9">
        <v>20170</v>
      </c>
      <c r="X184" s="9">
        <v>20230</v>
      </c>
      <c r="Y184" s="9">
        <v>20440</v>
      </c>
      <c r="Z184" s="9">
        <v>20720</v>
      </c>
      <c r="AA184" s="9">
        <v>20980</v>
      </c>
      <c r="AB184" s="9">
        <v>21720</v>
      </c>
      <c r="AC184" s="9">
        <v>22210</v>
      </c>
      <c r="AD184" s="9">
        <v>23080</v>
      </c>
      <c r="AE184" s="9">
        <v>23740</v>
      </c>
      <c r="AF184" s="9">
        <v>23800</v>
      </c>
      <c r="AG184" s="9">
        <v>25050</v>
      </c>
      <c r="AH184" s="9">
        <v>25440</v>
      </c>
      <c r="AI184" s="9">
        <v>26400</v>
      </c>
      <c r="AJ184" s="9">
        <v>27090</v>
      </c>
      <c r="AK184" s="9">
        <v>26980</v>
      </c>
      <c r="AL184" s="9">
        <v>26820</v>
      </c>
      <c r="AM184" s="9">
        <v>26020</v>
      </c>
      <c r="AN184" s="9">
        <v>25780</v>
      </c>
      <c r="AO184" s="9">
        <v>25710</v>
      </c>
      <c r="AP184" s="9">
        <v>26140</v>
      </c>
      <c r="AQ184" s="9">
        <v>26570</v>
      </c>
      <c r="AR184" s="9">
        <v>26440</v>
      </c>
      <c r="AS184" s="9">
        <v>27120</v>
      </c>
      <c r="AT184" s="9">
        <v>26880</v>
      </c>
      <c r="AU184" s="9">
        <v>26030</v>
      </c>
      <c r="AV184" s="9">
        <v>25360</v>
      </c>
      <c r="AW184" s="9">
        <v>24420</v>
      </c>
      <c r="AX184" s="9">
        <v>23720</v>
      </c>
      <c r="AY184" s="9">
        <v>23810</v>
      </c>
      <c r="AZ184" s="9">
        <v>23340</v>
      </c>
      <c r="BA184" s="9">
        <v>23890</v>
      </c>
      <c r="BB184" s="9">
        <v>24340</v>
      </c>
      <c r="BC184" s="9">
        <v>25000</v>
      </c>
      <c r="BD184" s="9">
        <v>25310</v>
      </c>
      <c r="BE184" s="9">
        <v>26250</v>
      </c>
      <c r="BF184" s="9">
        <v>26640</v>
      </c>
      <c r="BG184" s="9">
        <v>27120</v>
      </c>
      <c r="BH184" s="9">
        <v>28110</v>
      </c>
      <c r="BI184" s="9">
        <v>29220</v>
      </c>
      <c r="BJ184" s="9">
        <v>30630</v>
      </c>
      <c r="BK184" s="9">
        <v>32380</v>
      </c>
      <c r="BL184" s="9">
        <v>34000</v>
      </c>
      <c r="BM184" s="9">
        <v>35550</v>
      </c>
      <c r="BN184" s="9">
        <v>35410</v>
      </c>
      <c r="BO184" s="9">
        <v>35720</v>
      </c>
    </row>
    <row r="185" spans="3:67" x14ac:dyDescent="0.2">
      <c r="C185" s="3">
        <v>76</v>
      </c>
      <c r="E185" s="9">
        <v>10040</v>
      </c>
      <c r="F185" s="9">
        <v>10380</v>
      </c>
      <c r="G185" s="9">
        <v>10070</v>
      </c>
      <c r="H185" s="9">
        <v>9830</v>
      </c>
      <c r="I185" s="9">
        <v>9980</v>
      </c>
      <c r="J185" s="9">
        <v>10290</v>
      </c>
      <c r="K185" s="9">
        <v>10410</v>
      </c>
      <c r="L185" s="9">
        <v>10910</v>
      </c>
      <c r="M185" s="9">
        <v>11480</v>
      </c>
      <c r="N185" s="9">
        <v>11890</v>
      </c>
      <c r="O185" s="9">
        <v>13310</v>
      </c>
      <c r="P185" s="9">
        <v>14290</v>
      </c>
      <c r="Q185" s="9">
        <v>14670</v>
      </c>
      <c r="R185" s="9">
        <v>13250</v>
      </c>
      <c r="S185" s="9">
        <v>15020</v>
      </c>
      <c r="T185" s="9">
        <v>15570</v>
      </c>
      <c r="U185" s="9">
        <v>16540</v>
      </c>
      <c r="V185" s="9">
        <v>19650</v>
      </c>
      <c r="W185" s="9">
        <v>19620</v>
      </c>
      <c r="X185" s="9">
        <v>19710</v>
      </c>
      <c r="Y185" s="9">
        <v>19780</v>
      </c>
      <c r="Z185" s="9">
        <v>19990</v>
      </c>
      <c r="AA185" s="9">
        <v>20280</v>
      </c>
      <c r="AB185" s="9">
        <v>20550</v>
      </c>
      <c r="AC185" s="9">
        <v>21290</v>
      </c>
      <c r="AD185" s="9">
        <v>21780</v>
      </c>
      <c r="AE185" s="9">
        <v>22640</v>
      </c>
      <c r="AF185" s="9">
        <v>23290</v>
      </c>
      <c r="AG185" s="9">
        <v>23370</v>
      </c>
      <c r="AH185" s="9">
        <v>24600</v>
      </c>
      <c r="AI185" s="9">
        <v>25000</v>
      </c>
      <c r="AJ185" s="9">
        <v>25960</v>
      </c>
      <c r="AK185" s="9">
        <v>26650</v>
      </c>
      <c r="AL185" s="9">
        <v>26550</v>
      </c>
      <c r="AM185" s="9">
        <v>26410</v>
      </c>
      <c r="AN185" s="9">
        <v>25630</v>
      </c>
      <c r="AO185" s="9">
        <v>25400</v>
      </c>
      <c r="AP185" s="9">
        <v>25340</v>
      </c>
      <c r="AQ185" s="9">
        <v>25770</v>
      </c>
      <c r="AR185" s="9">
        <v>26210</v>
      </c>
      <c r="AS185" s="9">
        <v>26100</v>
      </c>
      <c r="AT185" s="9">
        <v>26770</v>
      </c>
      <c r="AU185" s="9">
        <v>26550</v>
      </c>
      <c r="AV185" s="9">
        <v>25720</v>
      </c>
      <c r="AW185" s="9">
        <v>25060</v>
      </c>
      <c r="AX185" s="9">
        <v>24140</v>
      </c>
      <c r="AY185" s="9">
        <v>23450</v>
      </c>
      <c r="AZ185" s="9">
        <v>23560</v>
      </c>
      <c r="BA185" s="9">
        <v>23090</v>
      </c>
      <c r="BB185" s="9">
        <v>23640</v>
      </c>
      <c r="BC185" s="9">
        <v>24100</v>
      </c>
      <c r="BD185" s="9">
        <v>24760</v>
      </c>
      <c r="BE185" s="9">
        <v>25070</v>
      </c>
      <c r="BF185" s="9">
        <v>26010</v>
      </c>
      <c r="BG185" s="9">
        <v>26410</v>
      </c>
      <c r="BH185" s="9">
        <v>26880</v>
      </c>
      <c r="BI185" s="9">
        <v>27880</v>
      </c>
      <c r="BJ185" s="9">
        <v>28980</v>
      </c>
      <c r="BK185" s="9">
        <v>30390</v>
      </c>
      <c r="BL185" s="9">
        <v>32130</v>
      </c>
      <c r="BM185" s="9">
        <v>33740</v>
      </c>
      <c r="BN185" s="9">
        <v>35290</v>
      </c>
      <c r="BO185" s="9">
        <v>35160</v>
      </c>
    </row>
    <row r="186" spans="3:67" x14ac:dyDescent="0.2">
      <c r="C186" s="3">
        <v>77</v>
      </c>
      <c r="E186" s="9">
        <v>9480</v>
      </c>
      <c r="F186" s="9">
        <v>9590</v>
      </c>
      <c r="G186" s="9">
        <v>9950</v>
      </c>
      <c r="H186" s="9">
        <v>9670</v>
      </c>
      <c r="I186" s="9">
        <v>9460</v>
      </c>
      <c r="J186" s="9">
        <v>9610</v>
      </c>
      <c r="K186" s="9">
        <v>9880</v>
      </c>
      <c r="L186" s="9">
        <v>10020</v>
      </c>
      <c r="M186" s="9">
        <v>10580</v>
      </c>
      <c r="N186" s="9">
        <v>11130</v>
      </c>
      <c r="O186" s="9">
        <v>11520</v>
      </c>
      <c r="P186" s="9">
        <v>12890</v>
      </c>
      <c r="Q186" s="9">
        <v>13850</v>
      </c>
      <c r="R186" s="9">
        <v>14240</v>
      </c>
      <c r="S186" s="9">
        <v>12860</v>
      </c>
      <c r="T186" s="9">
        <v>14600</v>
      </c>
      <c r="U186" s="9">
        <v>15130</v>
      </c>
      <c r="V186" s="9">
        <v>16090</v>
      </c>
      <c r="W186" s="9">
        <v>19130</v>
      </c>
      <c r="X186" s="9">
        <v>19110</v>
      </c>
      <c r="Y186" s="9">
        <v>19210</v>
      </c>
      <c r="Z186" s="9">
        <v>19290</v>
      </c>
      <c r="AA186" s="9">
        <v>19510</v>
      </c>
      <c r="AB186" s="9">
        <v>19810</v>
      </c>
      <c r="AC186" s="9">
        <v>20080</v>
      </c>
      <c r="AD186" s="9">
        <v>20820</v>
      </c>
      <c r="AE186" s="9">
        <v>21310</v>
      </c>
      <c r="AF186" s="9">
        <v>22160</v>
      </c>
      <c r="AG186" s="9">
        <v>22810</v>
      </c>
      <c r="AH186" s="9">
        <v>22900</v>
      </c>
      <c r="AI186" s="9">
        <v>24120</v>
      </c>
      <c r="AJ186" s="9">
        <v>24520</v>
      </c>
      <c r="AK186" s="9">
        <v>25480</v>
      </c>
      <c r="AL186" s="9">
        <v>26160</v>
      </c>
      <c r="AM186" s="9">
        <v>26080</v>
      </c>
      <c r="AN186" s="9">
        <v>25950</v>
      </c>
      <c r="AO186" s="9">
        <v>25200</v>
      </c>
      <c r="AP186" s="9">
        <v>24990</v>
      </c>
      <c r="AQ186" s="9">
        <v>24940</v>
      </c>
      <c r="AR186" s="9">
        <v>25370</v>
      </c>
      <c r="AS186" s="9">
        <v>25820</v>
      </c>
      <c r="AT186" s="9">
        <v>25710</v>
      </c>
      <c r="AU186" s="9">
        <v>26390</v>
      </c>
      <c r="AV186" s="9">
        <v>26180</v>
      </c>
      <c r="AW186" s="9">
        <v>25370</v>
      </c>
      <c r="AX186" s="9">
        <v>24730</v>
      </c>
      <c r="AY186" s="9">
        <v>23830</v>
      </c>
      <c r="AZ186" s="9">
        <v>23160</v>
      </c>
      <c r="BA186" s="9">
        <v>23270</v>
      </c>
      <c r="BB186" s="9">
        <v>22820</v>
      </c>
      <c r="BC186" s="9">
        <v>23370</v>
      </c>
      <c r="BD186" s="9">
        <v>23830</v>
      </c>
      <c r="BE186" s="9">
        <v>24490</v>
      </c>
      <c r="BF186" s="9">
        <v>24810</v>
      </c>
      <c r="BG186" s="9">
        <v>25740</v>
      </c>
      <c r="BH186" s="9">
        <v>26140</v>
      </c>
      <c r="BI186" s="9">
        <v>26620</v>
      </c>
      <c r="BJ186" s="9">
        <v>27610</v>
      </c>
      <c r="BK186" s="9">
        <v>28710</v>
      </c>
      <c r="BL186" s="9">
        <v>30110</v>
      </c>
      <c r="BM186" s="9">
        <v>31840</v>
      </c>
      <c r="BN186" s="9">
        <v>33440</v>
      </c>
      <c r="BO186" s="9">
        <v>34990</v>
      </c>
    </row>
    <row r="187" spans="3:67" x14ac:dyDescent="0.2">
      <c r="C187" s="3">
        <v>78</v>
      </c>
      <c r="E187" s="9">
        <v>9060</v>
      </c>
      <c r="F187" s="9">
        <v>9040</v>
      </c>
      <c r="G187" s="9">
        <v>9120</v>
      </c>
      <c r="H187" s="9">
        <v>9480</v>
      </c>
      <c r="I187" s="9">
        <v>9290</v>
      </c>
      <c r="J187" s="9">
        <v>8990</v>
      </c>
      <c r="K187" s="9">
        <v>9200</v>
      </c>
      <c r="L187" s="9">
        <v>9480</v>
      </c>
      <c r="M187" s="9">
        <v>9640</v>
      </c>
      <c r="N187" s="9">
        <v>10210</v>
      </c>
      <c r="O187" s="9">
        <v>10740</v>
      </c>
      <c r="P187" s="9">
        <v>11110</v>
      </c>
      <c r="Q187" s="9">
        <v>12440</v>
      </c>
      <c r="R187" s="9">
        <v>13380</v>
      </c>
      <c r="S187" s="9">
        <v>13760</v>
      </c>
      <c r="T187" s="9">
        <v>12450</v>
      </c>
      <c r="U187" s="9">
        <v>14140</v>
      </c>
      <c r="V187" s="9">
        <v>14670</v>
      </c>
      <c r="W187" s="9">
        <v>15610</v>
      </c>
      <c r="X187" s="9">
        <v>18560</v>
      </c>
      <c r="Y187" s="9">
        <v>18560</v>
      </c>
      <c r="Z187" s="9">
        <v>18670</v>
      </c>
      <c r="AA187" s="9">
        <v>18770</v>
      </c>
      <c r="AB187" s="9">
        <v>18990</v>
      </c>
      <c r="AC187" s="9">
        <v>19290</v>
      </c>
      <c r="AD187" s="9">
        <v>19570</v>
      </c>
      <c r="AE187" s="9">
        <v>20300</v>
      </c>
      <c r="AF187" s="9">
        <v>20790</v>
      </c>
      <c r="AG187" s="9">
        <v>21630</v>
      </c>
      <c r="AH187" s="9">
        <v>22290</v>
      </c>
      <c r="AI187" s="9">
        <v>22380</v>
      </c>
      <c r="AJ187" s="9">
        <v>23590</v>
      </c>
      <c r="AK187" s="9">
        <v>24000</v>
      </c>
      <c r="AL187" s="9">
        <v>24950</v>
      </c>
      <c r="AM187" s="9">
        <v>25630</v>
      </c>
      <c r="AN187" s="9">
        <v>25560</v>
      </c>
      <c r="AO187" s="9">
        <v>25450</v>
      </c>
      <c r="AP187" s="9">
        <v>24720</v>
      </c>
      <c r="AQ187" s="9">
        <v>24530</v>
      </c>
      <c r="AR187" s="9">
        <v>24490</v>
      </c>
      <c r="AS187" s="9">
        <v>24930</v>
      </c>
      <c r="AT187" s="9">
        <v>25380</v>
      </c>
      <c r="AU187" s="9">
        <v>25280</v>
      </c>
      <c r="AV187" s="9">
        <v>25960</v>
      </c>
      <c r="AW187" s="9">
        <v>25760</v>
      </c>
      <c r="AX187" s="9">
        <v>24980</v>
      </c>
      <c r="AY187" s="9">
        <v>24360</v>
      </c>
      <c r="AZ187" s="9">
        <v>23480</v>
      </c>
      <c r="BA187" s="9">
        <v>22830</v>
      </c>
      <c r="BB187" s="9">
        <v>22950</v>
      </c>
      <c r="BC187" s="9">
        <v>22510</v>
      </c>
      <c r="BD187" s="9">
        <v>23060</v>
      </c>
      <c r="BE187" s="9">
        <v>23520</v>
      </c>
      <c r="BF187" s="9">
        <v>24180</v>
      </c>
      <c r="BG187" s="9">
        <v>24500</v>
      </c>
      <c r="BH187" s="9">
        <v>25430</v>
      </c>
      <c r="BI187" s="9">
        <v>25830</v>
      </c>
      <c r="BJ187" s="9">
        <v>26310</v>
      </c>
      <c r="BK187" s="9">
        <v>27300</v>
      </c>
      <c r="BL187" s="9">
        <v>28400</v>
      </c>
      <c r="BM187" s="9">
        <v>29790</v>
      </c>
      <c r="BN187" s="9">
        <v>31510</v>
      </c>
      <c r="BO187" s="9">
        <v>33110</v>
      </c>
    </row>
    <row r="188" spans="3:67" x14ac:dyDescent="0.2">
      <c r="C188" s="3">
        <v>79</v>
      </c>
      <c r="E188" s="9">
        <v>8220</v>
      </c>
      <c r="F188" s="9">
        <v>8550</v>
      </c>
      <c r="G188" s="9">
        <v>8580</v>
      </c>
      <c r="H188" s="9">
        <v>8610</v>
      </c>
      <c r="I188" s="9">
        <v>9030</v>
      </c>
      <c r="J188" s="9">
        <v>8850</v>
      </c>
      <c r="K188" s="9">
        <v>8550</v>
      </c>
      <c r="L188" s="9">
        <v>8780</v>
      </c>
      <c r="M188" s="9">
        <v>9060</v>
      </c>
      <c r="N188" s="9">
        <v>9260</v>
      </c>
      <c r="O188" s="9">
        <v>9800</v>
      </c>
      <c r="P188" s="9">
        <v>10310</v>
      </c>
      <c r="Q188" s="9">
        <v>10670</v>
      </c>
      <c r="R188" s="9">
        <v>11970</v>
      </c>
      <c r="S188" s="9">
        <v>12880</v>
      </c>
      <c r="T188" s="9">
        <v>13260</v>
      </c>
      <c r="U188" s="9">
        <v>12000</v>
      </c>
      <c r="V188" s="9">
        <v>13640</v>
      </c>
      <c r="W188" s="9">
        <v>14170</v>
      </c>
      <c r="X188" s="9">
        <v>15090</v>
      </c>
      <c r="Y188" s="9">
        <v>17960</v>
      </c>
      <c r="Z188" s="9">
        <v>17970</v>
      </c>
      <c r="AA188" s="9">
        <v>18090</v>
      </c>
      <c r="AB188" s="9">
        <v>18200</v>
      </c>
      <c r="AC188" s="9">
        <v>18430</v>
      </c>
      <c r="AD188" s="9">
        <v>18730</v>
      </c>
      <c r="AE188" s="9">
        <v>19020</v>
      </c>
      <c r="AF188" s="9">
        <v>19740</v>
      </c>
      <c r="AG188" s="9">
        <v>20230</v>
      </c>
      <c r="AH188" s="9">
        <v>21060</v>
      </c>
      <c r="AI188" s="9">
        <v>21710</v>
      </c>
      <c r="AJ188" s="9">
        <v>21820</v>
      </c>
      <c r="AK188" s="9">
        <v>23010</v>
      </c>
      <c r="AL188" s="9">
        <v>23420</v>
      </c>
      <c r="AM188" s="9">
        <v>24360</v>
      </c>
      <c r="AN188" s="9">
        <v>25040</v>
      </c>
      <c r="AO188" s="9">
        <v>24990</v>
      </c>
      <c r="AP188" s="9">
        <v>24890</v>
      </c>
      <c r="AQ188" s="9">
        <v>24190</v>
      </c>
      <c r="AR188" s="9">
        <v>24020</v>
      </c>
      <c r="AS188" s="9">
        <v>24000</v>
      </c>
      <c r="AT188" s="9">
        <v>24440</v>
      </c>
      <c r="AU188" s="9">
        <v>24890</v>
      </c>
      <c r="AV188" s="9">
        <v>24810</v>
      </c>
      <c r="AW188" s="9">
        <v>25480</v>
      </c>
      <c r="AX188" s="9">
        <v>25300</v>
      </c>
      <c r="AY188" s="9">
        <v>24540</v>
      </c>
      <c r="AZ188" s="9">
        <v>23940</v>
      </c>
      <c r="BA188" s="9">
        <v>23090</v>
      </c>
      <c r="BB188" s="9">
        <v>22460</v>
      </c>
      <c r="BC188" s="9">
        <v>22580</v>
      </c>
      <c r="BD188" s="9">
        <v>22160</v>
      </c>
      <c r="BE188" s="9">
        <v>22710</v>
      </c>
      <c r="BF188" s="9">
        <v>23170</v>
      </c>
      <c r="BG188" s="9">
        <v>23830</v>
      </c>
      <c r="BH188" s="9">
        <v>24160</v>
      </c>
      <c r="BI188" s="9">
        <v>25080</v>
      </c>
      <c r="BJ188" s="9">
        <v>25490</v>
      </c>
      <c r="BK188" s="9">
        <v>25970</v>
      </c>
      <c r="BL188" s="9">
        <v>26950</v>
      </c>
      <c r="BM188" s="9">
        <v>28040</v>
      </c>
      <c r="BN188" s="9">
        <v>29430</v>
      </c>
      <c r="BO188" s="9">
        <v>31140</v>
      </c>
    </row>
    <row r="189" spans="3:67" x14ac:dyDescent="0.2">
      <c r="C189" s="3">
        <v>80</v>
      </c>
      <c r="E189" s="9">
        <v>7520</v>
      </c>
      <c r="F189" s="9">
        <v>7750</v>
      </c>
      <c r="G189" s="9">
        <v>8010</v>
      </c>
      <c r="H189" s="9">
        <v>8070</v>
      </c>
      <c r="I189" s="9">
        <v>8120</v>
      </c>
      <c r="J189" s="9">
        <v>8560</v>
      </c>
      <c r="K189" s="9">
        <v>8390</v>
      </c>
      <c r="L189" s="9">
        <v>8100</v>
      </c>
      <c r="M189" s="9">
        <v>8380</v>
      </c>
      <c r="N189" s="9">
        <v>8650</v>
      </c>
      <c r="O189" s="9">
        <v>8840</v>
      </c>
      <c r="P189" s="9">
        <v>9360</v>
      </c>
      <c r="Q189" s="9">
        <v>9850</v>
      </c>
      <c r="R189" s="9">
        <v>10210</v>
      </c>
      <c r="S189" s="9">
        <v>11460</v>
      </c>
      <c r="T189" s="9">
        <v>12350</v>
      </c>
      <c r="U189" s="9">
        <v>12720</v>
      </c>
      <c r="V189" s="9">
        <v>11530</v>
      </c>
      <c r="W189" s="9">
        <v>13110</v>
      </c>
      <c r="X189" s="9">
        <v>13630</v>
      </c>
      <c r="Y189" s="9">
        <v>14530</v>
      </c>
      <c r="Z189" s="9">
        <v>17300</v>
      </c>
      <c r="AA189" s="9">
        <v>17330</v>
      </c>
      <c r="AB189" s="9">
        <v>17460</v>
      </c>
      <c r="AC189" s="9">
        <v>17580</v>
      </c>
      <c r="AD189" s="9">
        <v>17820</v>
      </c>
      <c r="AE189" s="9">
        <v>18120</v>
      </c>
      <c r="AF189" s="9">
        <v>18410</v>
      </c>
      <c r="AG189" s="9">
        <v>19130</v>
      </c>
      <c r="AH189" s="9">
        <v>19620</v>
      </c>
      <c r="AI189" s="9">
        <v>20440</v>
      </c>
      <c r="AJ189" s="9">
        <v>21080</v>
      </c>
      <c r="AK189" s="9">
        <v>21200</v>
      </c>
      <c r="AL189" s="9">
        <v>22380</v>
      </c>
      <c r="AM189" s="9">
        <v>22790</v>
      </c>
      <c r="AN189" s="9">
        <v>23710</v>
      </c>
      <c r="AO189" s="9">
        <v>24400</v>
      </c>
      <c r="AP189" s="9">
        <v>24360</v>
      </c>
      <c r="AQ189" s="9">
        <v>24280</v>
      </c>
      <c r="AR189" s="9">
        <v>23610</v>
      </c>
      <c r="AS189" s="9">
        <v>23450</v>
      </c>
      <c r="AT189" s="9">
        <v>23440</v>
      </c>
      <c r="AU189" s="9">
        <v>23890</v>
      </c>
      <c r="AV189" s="9">
        <v>24340</v>
      </c>
      <c r="AW189" s="9">
        <v>24270</v>
      </c>
      <c r="AX189" s="9">
        <v>24940</v>
      </c>
      <c r="AY189" s="9">
        <v>24780</v>
      </c>
      <c r="AZ189" s="9">
        <v>24050</v>
      </c>
      <c r="BA189" s="9">
        <v>23470</v>
      </c>
      <c r="BB189" s="9">
        <v>22650</v>
      </c>
      <c r="BC189" s="9">
        <v>22040</v>
      </c>
      <c r="BD189" s="9">
        <v>22170</v>
      </c>
      <c r="BE189" s="9">
        <v>21770</v>
      </c>
      <c r="BF189" s="9">
        <v>22320</v>
      </c>
      <c r="BG189" s="9">
        <v>22780</v>
      </c>
      <c r="BH189" s="9">
        <v>23440</v>
      </c>
      <c r="BI189" s="9">
        <v>23770</v>
      </c>
      <c r="BJ189" s="9">
        <v>24680</v>
      </c>
      <c r="BK189" s="9">
        <v>25090</v>
      </c>
      <c r="BL189" s="9">
        <v>25580</v>
      </c>
      <c r="BM189" s="9">
        <v>26550</v>
      </c>
      <c r="BN189" s="9">
        <v>27640</v>
      </c>
      <c r="BO189" s="9">
        <v>29010</v>
      </c>
    </row>
    <row r="190" spans="3:67" x14ac:dyDescent="0.2">
      <c r="C190" s="3">
        <v>81</v>
      </c>
      <c r="E190" s="9">
        <v>6900</v>
      </c>
      <c r="F190" s="9">
        <v>6990</v>
      </c>
      <c r="G190" s="9">
        <v>7210</v>
      </c>
      <c r="H190" s="9">
        <v>7500</v>
      </c>
      <c r="I190" s="9">
        <v>7560</v>
      </c>
      <c r="J190" s="9">
        <v>7650</v>
      </c>
      <c r="K190" s="9">
        <v>8040</v>
      </c>
      <c r="L190" s="9">
        <v>7900</v>
      </c>
      <c r="M190" s="9">
        <v>7660</v>
      </c>
      <c r="N190" s="9">
        <v>7950</v>
      </c>
      <c r="O190" s="9">
        <v>8210</v>
      </c>
      <c r="P190" s="9">
        <v>8390</v>
      </c>
      <c r="Q190" s="9">
        <v>8890</v>
      </c>
      <c r="R190" s="9">
        <v>9370</v>
      </c>
      <c r="S190" s="9">
        <v>9720</v>
      </c>
      <c r="T190" s="9">
        <v>10920</v>
      </c>
      <c r="U190" s="9">
        <v>11780</v>
      </c>
      <c r="V190" s="9">
        <v>12150</v>
      </c>
      <c r="W190" s="9">
        <v>11020</v>
      </c>
      <c r="X190" s="9">
        <v>12540</v>
      </c>
      <c r="Y190" s="9">
        <v>13050</v>
      </c>
      <c r="Z190" s="9">
        <v>13920</v>
      </c>
      <c r="AA190" s="9">
        <v>16600</v>
      </c>
      <c r="AB190" s="9">
        <v>16640</v>
      </c>
      <c r="AC190" s="9">
        <v>16780</v>
      </c>
      <c r="AD190" s="9">
        <v>16910</v>
      </c>
      <c r="AE190" s="9">
        <v>17150</v>
      </c>
      <c r="AF190" s="9">
        <v>17460</v>
      </c>
      <c r="AG190" s="9">
        <v>17750</v>
      </c>
      <c r="AH190" s="9">
        <v>18460</v>
      </c>
      <c r="AI190" s="9">
        <v>18950</v>
      </c>
      <c r="AJ190" s="9">
        <v>19750</v>
      </c>
      <c r="AK190" s="9">
        <v>20390</v>
      </c>
      <c r="AL190" s="9">
        <v>20520</v>
      </c>
      <c r="AM190" s="9">
        <v>21670</v>
      </c>
      <c r="AN190" s="9">
        <v>22080</v>
      </c>
      <c r="AO190" s="9">
        <v>23000</v>
      </c>
      <c r="AP190" s="9">
        <v>23680</v>
      </c>
      <c r="AQ190" s="9">
        <v>23660</v>
      </c>
      <c r="AR190" s="9">
        <v>23590</v>
      </c>
      <c r="AS190" s="9">
        <v>22960</v>
      </c>
      <c r="AT190" s="9">
        <v>22820</v>
      </c>
      <c r="AU190" s="9">
        <v>22820</v>
      </c>
      <c r="AV190" s="9">
        <v>23270</v>
      </c>
      <c r="AW190" s="9">
        <v>23720</v>
      </c>
      <c r="AX190" s="9">
        <v>23670</v>
      </c>
      <c r="AY190" s="9">
        <v>24340</v>
      </c>
      <c r="AZ190" s="9">
        <v>24190</v>
      </c>
      <c r="BA190" s="9">
        <v>23490</v>
      </c>
      <c r="BB190" s="9">
        <v>22940</v>
      </c>
      <c r="BC190" s="9">
        <v>22150</v>
      </c>
      <c r="BD190" s="9">
        <v>21560</v>
      </c>
      <c r="BE190" s="9">
        <v>21700</v>
      </c>
      <c r="BF190" s="9">
        <v>21320</v>
      </c>
      <c r="BG190" s="9">
        <v>21870</v>
      </c>
      <c r="BH190" s="9">
        <v>22330</v>
      </c>
      <c r="BI190" s="9">
        <v>22980</v>
      </c>
      <c r="BJ190" s="9">
        <v>23310</v>
      </c>
      <c r="BK190" s="9">
        <v>24220</v>
      </c>
      <c r="BL190" s="9">
        <v>24640</v>
      </c>
      <c r="BM190" s="9">
        <v>25120</v>
      </c>
      <c r="BN190" s="9">
        <v>26090</v>
      </c>
      <c r="BO190" s="9">
        <v>27170</v>
      </c>
    </row>
    <row r="191" spans="3:67" x14ac:dyDescent="0.2">
      <c r="C191" s="3">
        <v>82</v>
      </c>
      <c r="E191" s="9">
        <v>5900</v>
      </c>
      <c r="F191" s="9">
        <v>6400</v>
      </c>
      <c r="G191" s="9">
        <v>6460</v>
      </c>
      <c r="H191" s="9">
        <v>6720</v>
      </c>
      <c r="I191" s="9">
        <v>6960</v>
      </c>
      <c r="J191" s="9">
        <v>7040</v>
      </c>
      <c r="K191" s="9">
        <v>7130</v>
      </c>
      <c r="L191" s="9">
        <v>7540</v>
      </c>
      <c r="M191" s="9">
        <v>7420</v>
      </c>
      <c r="N191" s="9">
        <v>7210</v>
      </c>
      <c r="O191" s="9">
        <v>7490</v>
      </c>
      <c r="P191" s="9">
        <v>7730</v>
      </c>
      <c r="Q191" s="9">
        <v>7910</v>
      </c>
      <c r="R191" s="9">
        <v>8390</v>
      </c>
      <c r="S191" s="9">
        <v>8860</v>
      </c>
      <c r="T191" s="9">
        <v>9200</v>
      </c>
      <c r="U191" s="9">
        <v>10350</v>
      </c>
      <c r="V191" s="9">
        <v>11170</v>
      </c>
      <c r="W191" s="9">
        <v>11530</v>
      </c>
      <c r="X191" s="9">
        <v>10470</v>
      </c>
      <c r="Y191" s="9">
        <v>11930</v>
      </c>
      <c r="Z191" s="9">
        <v>12430</v>
      </c>
      <c r="AA191" s="9">
        <v>13270</v>
      </c>
      <c r="AB191" s="9">
        <v>15840</v>
      </c>
      <c r="AC191" s="9">
        <v>15890</v>
      </c>
      <c r="AD191" s="9">
        <v>16040</v>
      </c>
      <c r="AE191" s="9">
        <v>16180</v>
      </c>
      <c r="AF191" s="9">
        <v>16430</v>
      </c>
      <c r="AG191" s="9">
        <v>16740</v>
      </c>
      <c r="AH191" s="9">
        <v>17030</v>
      </c>
      <c r="AI191" s="9">
        <v>17720</v>
      </c>
      <c r="AJ191" s="9">
        <v>18210</v>
      </c>
      <c r="AK191" s="9">
        <v>19000</v>
      </c>
      <c r="AL191" s="9">
        <v>19630</v>
      </c>
      <c r="AM191" s="9">
        <v>19770</v>
      </c>
      <c r="AN191" s="9">
        <v>20890</v>
      </c>
      <c r="AO191" s="9">
        <v>21310</v>
      </c>
      <c r="AP191" s="9">
        <v>22210</v>
      </c>
      <c r="AQ191" s="9">
        <v>22880</v>
      </c>
      <c r="AR191" s="9">
        <v>22870</v>
      </c>
      <c r="AS191" s="9">
        <v>22830</v>
      </c>
      <c r="AT191" s="9">
        <v>22230</v>
      </c>
      <c r="AU191" s="9">
        <v>22110</v>
      </c>
      <c r="AV191" s="9">
        <v>22130</v>
      </c>
      <c r="AW191" s="9">
        <v>22570</v>
      </c>
      <c r="AX191" s="9">
        <v>23030</v>
      </c>
      <c r="AY191" s="9">
        <v>22990</v>
      </c>
      <c r="AZ191" s="9">
        <v>23660</v>
      </c>
      <c r="BA191" s="9">
        <v>23530</v>
      </c>
      <c r="BB191" s="9">
        <v>22860</v>
      </c>
      <c r="BC191" s="9">
        <v>22340</v>
      </c>
      <c r="BD191" s="9">
        <v>21570</v>
      </c>
      <c r="BE191" s="9">
        <v>21020</v>
      </c>
      <c r="BF191" s="9">
        <v>21160</v>
      </c>
      <c r="BG191" s="9">
        <v>20800</v>
      </c>
      <c r="BH191" s="9">
        <v>21350</v>
      </c>
      <c r="BI191" s="9">
        <v>21810</v>
      </c>
      <c r="BJ191" s="9">
        <v>22460</v>
      </c>
      <c r="BK191" s="9">
        <v>22790</v>
      </c>
      <c r="BL191" s="9">
        <v>23690</v>
      </c>
      <c r="BM191" s="9">
        <v>24110</v>
      </c>
      <c r="BN191" s="9">
        <v>24600</v>
      </c>
      <c r="BO191" s="9">
        <v>25560</v>
      </c>
    </row>
    <row r="192" spans="3:67" x14ac:dyDescent="0.2">
      <c r="C192" s="3">
        <v>83</v>
      </c>
      <c r="E192" s="9">
        <v>5210</v>
      </c>
      <c r="F192" s="9">
        <v>5440</v>
      </c>
      <c r="G192" s="9">
        <v>5830</v>
      </c>
      <c r="H192" s="9">
        <v>5940</v>
      </c>
      <c r="I192" s="9">
        <v>6210</v>
      </c>
      <c r="J192" s="9">
        <v>6400</v>
      </c>
      <c r="K192" s="9">
        <v>6540</v>
      </c>
      <c r="L192" s="9">
        <v>6570</v>
      </c>
      <c r="M192" s="9">
        <v>7030</v>
      </c>
      <c r="N192" s="9">
        <v>6920</v>
      </c>
      <c r="O192" s="9">
        <v>6740</v>
      </c>
      <c r="P192" s="9">
        <v>7000</v>
      </c>
      <c r="Q192" s="9">
        <v>7230</v>
      </c>
      <c r="R192" s="9">
        <v>7410</v>
      </c>
      <c r="S192" s="9">
        <v>7870</v>
      </c>
      <c r="T192" s="9">
        <v>8310</v>
      </c>
      <c r="U192" s="9">
        <v>8650</v>
      </c>
      <c r="V192" s="9">
        <v>9730</v>
      </c>
      <c r="W192" s="9">
        <v>10520</v>
      </c>
      <c r="X192" s="9">
        <v>10880</v>
      </c>
      <c r="Y192" s="9">
        <v>9890</v>
      </c>
      <c r="Z192" s="9">
        <v>11280</v>
      </c>
      <c r="AA192" s="9">
        <v>11760</v>
      </c>
      <c r="AB192" s="9">
        <v>12570</v>
      </c>
      <c r="AC192" s="9">
        <v>15020</v>
      </c>
      <c r="AD192" s="9">
        <v>15080</v>
      </c>
      <c r="AE192" s="9">
        <v>15240</v>
      </c>
      <c r="AF192" s="9">
        <v>15380</v>
      </c>
      <c r="AG192" s="9">
        <v>15640</v>
      </c>
      <c r="AH192" s="9">
        <v>15950</v>
      </c>
      <c r="AI192" s="9">
        <v>16240</v>
      </c>
      <c r="AJ192" s="9">
        <v>16920</v>
      </c>
      <c r="AK192" s="9">
        <v>17390</v>
      </c>
      <c r="AL192" s="9">
        <v>18170</v>
      </c>
      <c r="AM192" s="9">
        <v>18790</v>
      </c>
      <c r="AN192" s="9">
        <v>18930</v>
      </c>
      <c r="AO192" s="9">
        <v>20030</v>
      </c>
      <c r="AP192" s="9">
        <v>20440</v>
      </c>
      <c r="AQ192" s="9">
        <v>21320</v>
      </c>
      <c r="AR192" s="9">
        <v>21980</v>
      </c>
      <c r="AS192" s="9">
        <v>22000</v>
      </c>
      <c r="AT192" s="9">
        <v>21970</v>
      </c>
      <c r="AU192" s="9">
        <v>21410</v>
      </c>
      <c r="AV192" s="9">
        <v>21310</v>
      </c>
      <c r="AW192" s="9">
        <v>21340</v>
      </c>
      <c r="AX192" s="9">
        <v>21790</v>
      </c>
      <c r="AY192" s="9">
        <v>22240</v>
      </c>
      <c r="AZ192" s="9">
        <v>22220</v>
      </c>
      <c r="BA192" s="9">
        <v>22880</v>
      </c>
      <c r="BB192" s="9">
        <v>22770</v>
      </c>
      <c r="BC192" s="9">
        <v>22140</v>
      </c>
      <c r="BD192" s="9">
        <v>21650</v>
      </c>
      <c r="BE192" s="9">
        <v>20920</v>
      </c>
      <c r="BF192" s="9">
        <v>20390</v>
      </c>
      <c r="BG192" s="9">
        <v>20550</v>
      </c>
      <c r="BH192" s="9">
        <v>20200</v>
      </c>
      <c r="BI192" s="9">
        <v>20750</v>
      </c>
      <c r="BJ192" s="9">
        <v>21210</v>
      </c>
      <c r="BK192" s="9">
        <v>21850</v>
      </c>
      <c r="BL192" s="9">
        <v>22190</v>
      </c>
      <c r="BM192" s="9">
        <v>23080</v>
      </c>
      <c r="BN192" s="9">
        <v>23490</v>
      </c>
      <c r="BO192" s="9">
        <v>23980</v>
      </c>
    </row>
    <row r="193" spans="1:67" x14ac:dyDescent="0.2">
      <c r="C193" s="3">
        <v>84</v>
      </c>
      <c r="E193" s="9">
        <v>4650</v>
      </c>
      <c r="F193" s="9">
        <v>4730</v>
      </c>
      <c r="G193" s="9">
        <v>4950</v>
      </c>
      <c r="H193" s="9">
        <v>5290</v>
      </c>
      <c r="I193" s="9">
        <v>5380</v>
      </c>
      <c r="J193" s="9">
        <v>5700</v>
      </c>
      <c r="K193" s="9">
        <v>5860</v>
      </c>
      <c r="L193" s="9">
        <v>6000</v>
      </c>
      <c r="M193" s="9">
        <v>6020</v>
      </c>
      <c r="N193" s="9">
        <v>6490</v>
      </c>
      <c r="O193" s="9">
        <v>6410</v>
      </c>
      <c r="P193" s="9">
        <v>6230</v>
      </c>
      <c r="Q193" s="9">
        <v>6480</v>
      </c>
      <c r="R193" s="9">
        <v>6710</v>
      </c>
      <c r="S193" s="9">
        <v>6880</v>
      </c>
      <c r="T193" s="9">
        <v>7320</v>
      </c>
      <c r="U193" s="9">
        <v>7740</v>
      </c>
      <c r="V193" s="9">
        <v>8060</v>
      </c>
      <c r="W193" s="9">
        <v>9090</v>
      </c>
      <c r="X193" s="9">
        <v>9830</v>
      </c>
      <c r="Y193" s="9">
        <v>10180</v>
      </c>
      <c r="Z193" s="9">
        <v>9260</v>
      </c>
      <c r="AA193" s="9">
        <v>10580</v>
      </c>
      <c r="AB193" s="9">
        <v>11040</v>
      </c>
      <c r="AC193" s="9">
        <v>11820</v>
      </c>
      <c r="AD193" s="9">
        <v>14130</v>
      </c>
      <c r="AE193" s="9">
        <v>14210</v>
      </c>
      <c r="AF193" s="9">
        <v>14370</v>
      </c>
      <c r="AG193" s="9">
        <v>14520</v>
      </c>
      <c r="AH193" s="9">
        <v>14770</v>
      </c>
      <c r="AI193" s="9">
        <v>15090</v>
      </c>
      <c r="AJ193" s="9">
        <v>15380</v>
      </c>
      <c r="AK193" s="9">
        <v>16030</v>
      </c>
      <c r="AL193" s="9">
        <v>16500</v>
      </c>
      <c r="AM193" s="9">
        <v>17250</v>
      </c>
      <c r="AN193" s="9">
        <v>17850</v>
      </c>
      <c r="AO193" s="9">
        <v>18010</v>
      </c>
      <c r="AP193" s="9">
        <v>19070</v>
      </c>
      <c r="AQ193" s="9">
        <v>19480</v>
      </c>
      <c r="AR193" s="9">
        <v>20340</v>
      </c>
      <c r="AS193" s="9">
        <v>20980</v>
      </c>
      <c r="AT193" s="9">
        <v>21020</v>
      </c>
      <c r="AU193" s="9">
        <v>21010</v>
      </c>
      <c r="AV193" s="9">
        <v>20490</v>
      </c>
      <c r="AW193" s="9">
        <v>20410</v>
      </c>
      <c r="AX193" s="9">
        <v>20460</v>
      </c>
      <c r="AY193" s="9">
        <v>20900</v>
      </c>
      <c r="AZ193" s="9">
        <v>21350</v>
      </c>
      <c r="BA193" s="9">
        <v>21350</v>
      </c>
      <c r="BB193" s="9">
        <v>22000</v>
      </c>
      <c r="BC193" s="9">
        <v>21910</v>
      </c>
      <c r="BD193" s="9">
        <v>21310</v>
      </c>
      <c r="BE193" s="9">
        <v>20850</v>
      </c>
      <c r="BF193" s="9">
        <v>20170</v>
      </c>
      <c r="BG193" s="9">
        <v>19670</v>
      </c>
      <c r="BH193" s="9">
        <v>19830</v>
      </c>
      <c r="BI193" s="9">
        <v>19520</v>
      </c>
      <c r="BJ193" s="9">
        <v>20050</v>
      </c>
      <c r="BK193" s="9">
        <v>20510</v>
      </c>
      <c r="BL193" s="9">
        <v>21150</v>
      </c>
      <c r="BM193" s="9">
        <v>21490</v>
      </c>
      <c r="BN193" s="9">
        <v>22360</v>
      </c>
      <c r="BO193" s="9">
        <v>22780</v>
      </c>
    </row>
    <row r="194" spans="1:67" x14ac:dyDescent="0.2">
      <c r="C194" s="3">
        <v>85</v>
      </c>
      <c r="E194" s="9">
        <v>3850</v>
      </c>
      <c r="F194" s="9">
        <v>4140</v>
      </c>
      <c r="G194" s="9">
        <v>4250</v>
      </c>
      <c r="H194" s="9">
        <v>4440</v>
      </c>
      <c r="I194" s="9">
        <v>4760</v>
      </c>
      <c r="J194" s="9">
        <v>4830</v>
      </c>
      <c r="K194" s="9">
        <v>5160</v>
      </c>
      <c r="L194" s="9">
        <v>5280</v>
      </c>
      <c r="M194" s="9">
        <v>5470</v>
      </c>
      <c r="N194" s="9">
        <v>5500</v>
      </c>
      <c r="O194" s="9">
        <v>5940</v>
      </c>
      <c r="P194" s="9">
        <v>5860</v>
      </c>
      <c r="Q194" s="9">
        <v>5710</v>
      </c>
      <c r="R194" s="9">
        <v>5950</v>
      </c>
      <c r="S194" s="9">
        <v>6170</v>
      </c>
      <c r="T194" s="9">
        <v>6330</v>
      </c>
      <c r="U194" s="9">
        <v>6740</v>
      </c>
      <c r="V194" s="9">
        <v>7140</v>
      </c>
      <c r="W194" s="9">
        <v>7450</v>
      </c>
      <c r="X194" s="9">
        <v>8400</v>
      </c>
      <c r="Y194" s="9">
        <v>9100</v>
      </c>
      <c r="Z194" s="9">
        <v>9440</v>
      </c>
      <c r="AA194" s="9">
        <v>8600</v>
      </c>
      <c r="AB194" s="9">
        <v>9830</v>
      </c>
      <c r="AC194" s="9">
        <v>10280</v>
      </c>
      <c r="AD194" s="9">
        <v>11010</v>
      </c>
      <c r="AE194" s="9">
        <v>13180</v>
      </c>
      <c r="AF194" s="9">
        <v>13270</v>
      </c>
      <c r="AG194" s="9">
        <v>13440</v>
      </c>
      <c r="AH194" s="9">
        <v>13590</v>
      </c>
      <c r="AI194" s="9">
        <v>13840</v>
      </c>
      <c r="AJ194" s="9">
        <v>14150</v>
      </c>
      <c r="AK194" s="9">
        <v>14440</v>
      </c>
      <c r="AL194" s="9">
        <v>15070</v>
      </c>
      <c r="AM194" s="9">
        <v>15530</v>
      </c>
      <c r="AN194" s="9">
        <v>16250</v>
      </c>
      <c r="AO194" s="9">
        <v>16830</v>
      </c>
      <c r="AP194" s="9">
        <v>17000</v>
      </c>
      <c r="AQ194" s="9">
        <v>18010</v>
      </c>
      <c r="AR194" s="9">
        <v>18420</v>
      </c>
      <c r="AS194" s="9">
        <v>19250</v>
      </c>
      <c r="AT194" s="9">
        <v>19880</v>
      </c>
      <c r="AU194" s="9">
        <v>19920</v>
      </c>
      <c r="AV194" s="9">
        <v>19930</v>
      </c>
      <c r="AW194" s="9">
        <v>19460</v>
      </c>
      <c r="AX194" s="9">
        <v>19400</v>
      </c>
      <c r="AY194" s="9">
        <v>19460</v>
      </c>
      <c r="AZ194" s="9">
        <v>19900</v>
      </c>
      <c r="BA194" s="9">
        <v>20350</v>
      </c>
      <c r="BB194" s="9">
        <v>20360</v>
      </c>
      <c r="BC194" s="9">
        <v>20990</v>
      </c>
      <c r="BD194" s="9">
        <v>20920</v>
      </c>
      <c r="BE194" s="9">
        <v>20370</v>
      </c>
      <c r="BF194" s="9">
        <v>19950</v>
      </c>
      <c r="BG194" s="9">
        <v>19310</v>
      </c>
      <c r="BH194" s="9">
        <v>18850</v>
      </c>
      <c r="BI194" s="9">
        <v>19010</v>
      </c>
      <c r="BJ194" s="9">
        <v>18720</v>
      </c>
      <c r="BK194" s="9">
        <v>19250</v>
      </c>
      <c r="BL194" s="9">
        <v>19700</v>
      </c>
      <c r="BM194" s="9">
        <v>20330</v>
      </c>
      <c r="BN194" s="9">
        <v>20670</v>
      </c>
      <c r="BO194" s="9">
        <v>21520</v>
      </c>
    </row>
    <row r="195" spans="1:67" x14ac:dyDescent="0.2">
      <c r="C195" s="3">
        <v>86</v>
      </c>
      <c r="E195" s="9">
        <v>3290</v>
      </c>
      <c r="F195" s="9">
        <v>3420</v>
      </c>
      <c r="G195" s="9">
        <v>3640</v>
      </c>
      <c r="H195" s="9">
        <v>3790</v>
      </c>
      <c r="I195" s="9">
        <v>3970</v>
      </c>
      <c r="J195" s="9">
        <v>4250</v>
      </c>
      <c r="K195" s="9">
        <v>4310</v>
      </c>
      <c r="L195" s="9">
        <v>4610</v>
      </c>
      <c r="M195" s="9">
        <v>4750</v>
      </c>
      <c r="N195" s="9">
        <v>4930</v>
      </c>
      <c r="O195" s="9">
        <v>4970</v>
      </c>
      <c r="P195" s="9">
        <v>5370</v>
      </c>
      <c r="Q195" s="9">
        <v>5300</v>
      </c>
      <c r="R195" s="9">
        <v>5170</v>
      </c>
      <c r="S195" s="9">
        <v>5400</v>
      </c>
      <c r="T195" s="9">
        <v>5600</v>
      </c>
      <c r="U195" s="9">
        <v>5760</v>
      </c>
      <c r="V195" s="9">
        <v>6140</v>
      </c>
      <c r="W195" s="9">
        <v>6520</v>
      </c>
      <c r="X195" s="9">
        <v>6800</v>
      </c>
      <c r="Y195" s="9">
        <v>7690</v>
      </c>
      <c r="Z195" s="9">
        <v>8340</v>
      </c>
      <c r="AA195" s="9">
        <v>8660</v>
      </c>
      <c r="AB195" s="9">
        <v>7900</v>
      </c>
      <c r="AC195" s="9">
        <v>9040</v>
      </c>
      <c r="AD195" s="9">
        <v>9460</v>
      </c>
      <c r="AE195" s="9">
        <v>10150</v>
      </c>
      <c r="AF195" s="9">
        <v>12170</v>
      </c>
      <c r="AG195" s="9">
        <v>12260</v>
      </c>
      <c r="AH195" s="9">
        <v>12430</v>
      </c>
      <c r="AI195" s="9">
        <v>12590</v>
      </c>
      <c r="AJ195" s="9">
        <v>12840</v>
      </c>
      <c r="AK195" s="9">
        <v>13140</v>
      </c>
      <c r="AL195" s="9">
        <v>13420</v>
      </c>
      <c r="AM195" s="9">
        <v>14020</v>
      </c>
      <c r="AN195" s="9">
        <v>14460</v>
      </c>
      <c r="AO195" s="9">
        <v>15150</v>
      </c>
      <c r="AP195" s="9">
        <v>15710</v>
      </c>
      <c r="AQ195" s="9">
        <v>15880</v>
      </c>
      <c r="AR195" s="9">
        <v>16850</v>
      </c>
      <c r="AS195" s="9">
        <v>17250</v>
      </c>
      <c r="AT195" s="9">
        <v>18040</v>
      </c>
      <c r="AU195" s="9">
        <v>18650</v>
      </c>
      <c r="AV195" s="9">
        <v>18710</v>
      </c>
      <c r="AW195" s="9">
        <v>18740</v>
      </c>
      <c r="AX195" s="9">
        <v>18310</v>
      </c>
      <c r="AY195" s="9">
        <v>18270</v>
      </c>
      <c r="AZ195" s="9">
        <v>18350</v>
      </c>
      <c r="BA195" s="9">
        <v>18770</v>
      </c>
      <c r="BB195" s="9">
        <v>19210</v>
      </c>
      <c r="BC195" s="9">
        <v>19240</v>
      </c>
      <c r="BD195" s="9">
        <v>19860</v>
      </c>
      <c r="BE195" s="9">
        <v>19810</v>
      </c>
      <c r="BF195" s="9">
        <v>19300</v>
      </c>
      <c r="BG195" s="9">
        <v>18920</v>
      </c>
      <c r="BH195" s="9">
        <v>18320</v>
      </c>
      <c r="BI195" s="9">
        <v>17900</v>
      </c>
      <c r="BJ195" s="9">
        <v>18070</v>
      </c>
      <c r="BK195" s="9">
        <v>17810</v>
      </c>
      <c r="BL195" s="9">
        <v>18330</v>
      </c>
      <c r="BM195" s="9">
        <v>18770</v>
      </c>
      <c r="BN195" s="9">
        <v>19380</v>
      </c>
      <c r="BO195" s="9">
        <v>19720</v>
      </c>
    </row>
    <row r="196" spans="1:67" x14ac:dyDescent="0.2">
      <c r="C196" s="3">
        <v>87</v>
      </c>
      <c r="E196" s="9">
        <v>2380</v>
      </c>
      <c r="F196" s="9">
        <v>2850</v>
      </c>
      <c r="G196" s="9">
        <v>2980</v>
      </c>
      <c r="H196" s="9">
        <v>3200</v>
      </c>
      <c r="I196" s="9">
        <v>3330</v>
      </c>
      <c r="J196" s="9">
        <v>3480</v>
      </c>
      <c r="K196" s="9">
        <v>3760</v>
      </c>
      <c r="L196" s="9">
        <v>3760</v>
      </c>
      <c r="M196" s="9">
        <v>4090</v>
      </c>
      <c r="N196" s="9">
        <v>4230</v>
      </c>
      <c r="O196" s="9">
        <v>4390</v>
      </c>
      <c r="P196" s="9">
        <v>4420</v>
      </c>
      <c r="Q196" s="9">
        <v>4790</v>
      </c>
      <c r="R196" s="9">
        <v>4740</v>
      </c>
      <c r="S196" s="9">
        <v>4630</v>
      </c>
      <c r="T196" s="9">
        <v>4840</v>
      </c>
      <c r="U196" s="9">
        <v>5030</v>
      </c>
      <c r="V196" s="9">
        <v>5180</v>
      </c>
      <c r="W196" s="9">
        <v>5530</v>
      </c>
      <c r="X196" s="9">
        <v>5870</v>
      </c>
      <c r="Y196" s="9">
        <v>6140</v>
      </c>
      <c r="Z196" s="9">
        <v>6950</v>
      </c>
      <c r="AA196" s="9">
        <v>7550</v>
      </c>
      <c r="AB196" s="9">
        <v>7850</v>
      </c>
      <c r="AC196" s="9">
        <v>7170</v>
      </c>
      <c r="AD196" s="9">
        <v>8220</v>
      </c>
      <c r="AE196" s="9">
        <v>8610</v>
      </c>
      <c r="AF196" s="9">
        <v>9250</v>
      </c>
      <c r="AG196" s="9">
        <v>11100</v>
      </c>
      <c r="AH196" s="9">
        <v>11200</v>
      </c>
      <c r="AI196" s="9">
        <v>11370</v>
      </c>
      <c r="AJ196" s="9">
        <v>11530</v>
      </c>
      <c r="AK196" s="9">
        <v>11770</v>
      </c>
      <c r="AL196" s="9">
        <v>12060</v>
      </c>
      <c r="AM196" s="9">
        <v>12330</v>
      </c>
      <c r="AN196" s="9">
        <v>12900</v>
      </c>
      <c r="AO196" s="9">
        <v>13320</v>
      </c>
      <c r="AP196" s="9">
        <v>13970</v>
      </c>
      <c r="AQ196" s="9">
        <v>14500</v>
      </c>
      <c r="AR196" s="9">
        <v>14680</v>
      </c>
      <c r="AS196" s="9">
        <v>15590</v>
      </c>
      <c r="AT196" s="9">
        <v>15970</v>
      </c>
      <c r="AU196" s="9">
        <v>16720</v>
      </c>
      <c r="AV196" s="9">
        <v>17310</v>
      </c>
      <c r="AW196" s="9">
        <v>17380</v>
      </c>
      <c r="AX196" s="9">
        <v>17420</v>
      </c>
      <c r="AY196" s="9">
        <v>17040</v>
      </c>
      <c r="AZ196" s="9">
        <v>17020</v>
      </c>
      <c r="BA196" s="9">
        <v>17110</v>
      </c>
      <c r="BB196" s="9">
        <v>17530</v>
      </c>
      <c r="BC196" s="9">
        <v>17950</v>
      </c>
      <c r="BD196" s="9">
        <v>18000</v>
      </c>
      <c r="BE196" s="9">
        <v>18590</v>
      </c>
      <c r="BF196" s="9">
        <v>18560</v>
      </c>
      <c r="BG196" s="9">
        <v>18100</v>
      </c>
      <c r="BH196" s="9">
        <v>17760</v>
      </c>
      <c r="BI196" s="9">
        <v>17210</v>
      </c>
      <c r="BJ196" s="9">
        <v>16830</v>
      </c>
      <c r="BK196" s="9">
        <v>17010</v>
      </c>
      <c r="BL196" s="9">
        <v>16780</v>
      </c>
      <c r="BM196" s="9">
        <v>17280</v>
      </c>
      <c r="BN196" s="9">
        <v>17710</v>
      </c>
      <c r="BO196" s="9">
        <v>18300</v>
      </c>
    </row>
    <row r="197" spans="1:67" x14ac:dyDescent="0.2">
      <c r="C197" s="3">
        <v>88</v>
      </c>
      <c r="E197" s="9">
        <v>1930</v>
      </c>
      <c r="F197" s="9">
        <v>2020</v>
      </c>
      <c r="G197" s="9">
        <v>2480</v>
      </c>
      <c r="H197" s="9">
        <v>2590</v>
      </c>
      <c r="I197" s="9">
        <v>2790</v>
      </c>
      <c r="J197" s="9">
        <v>2920</v>
      </c>
      <c r="K197" s="9">
        <v>2990</v>
      </c>
      <c r="L197" s="9">
        <v>3210</v>
      </c>
      <c r="M197" s="9">
        <v>3310</v>
      </c>
      <c r="N197" s="9">
        <v>3580</v>
      </c>
      <c r="O197" s="9">
        <v>3710</v>
      </c>
      <c r="P197" s="9">
        <v>3850</v>
      </c>
      <c r="Q197" s="9">
        <v>3890</v>
      </c>
      <c r="R197" s="9">
        <v>4210</v>
      </c>
      <c r="S197" s="9">
        <v>4170</v>
      </c>
      <c r="T197" s="9">
        <v>4090</v>
      </c>
      <c r="U197" s="9">
        <v>4270</v>
      </c>
      <c r="V197" s="9">
        <v>4450</v>
      </c>
      <c r="W197" s="9">
        <v>4590</v>
      </c>
      <c r="X197" s="9">
        <v>4910</v>
      </c>
      <c r="Y197" s="9">
        <v>5220</v>
      </c>
      <c r="Z197" s="9">
        <v>5470</v>
      </c>
      <c r="AA197" s="9">
        <v>6200</v>
      </c>
      <c r="AB197" s="9">
        <v>6740</v>
      </c>
      <c r="AC197" s="9">
        <v>7010</v>
      </c>
      <c r="AD197" s="9">
        <v>6420</v>
      </c>
      <c r="AE197" s="9">
        <v>7370</v>
      </c>
      <c r="AF197" s="9">
        <v>7730</v>
      </c>
      <c r="AG197" s="9">
        <v>8310</v>
      </c>
      <c r="AH197" s="9">
        <v>9990</v>
      </c>
      <c r="AI197" s="9">
        <v>10090</v>
      </c>
      <c r="AJ197" s="9">
        <v>10260</v>
      </c>
      <c r="AK197" s="9">
        <v>10410</v>
      </c>
      <c r="AL197" s="9">
        <v>10640</v>
      </c>
      <c r="AM197" s="9">
        <v>10920</v>
      </c>
      <c r="AN197" s="9">
        <v>11180</v>
      </c>
      <c r="AO197" s="9">
        <v>11710</v>
      </c>
      <c r="AP197" s="9">
        <v>12100</v>
      </c>
      <c r="AQ197" s="9">
        <v>12710</v>
      </c>
      <c r="AR197" s="9">
        <v>13210</v>
      </c>
      <c r="AS197" s="9">
        <v>13380</v>
      </c>
      <c r="AT197" s="9">
        <v>14230</v>
      </c>
      <c r="AU197" s="9">
        <v>14600</v>
      </c>
      <c r="AV197" s="9">
        <v>15300</v>
      </c>
      <c r="AW197" s="9">
        <v>15850</v>
      </c>
      <c r="AX197" s="9">
        <v>15940</v>
      </c>
      <c r="AY197" s="9">
        <v>15990</v>
      </c>
      <c r="AZ197" s="9">
        <v>15660</v>
      </c>
      <c r="BA197" s="9">
        <v>15660</v>
      </c>
      <c r="BB197" s="9">
        <v>15750</v>
      </c>
      <c r="BC197" s="9">
        <v>16150</v>
      </c>
      <c r="BD197" s="9">
        <v>16560</v>
      </c>
      <c r="BE197" s="9">
        <v>16620</v>
      </c>
      <c r="BF197" s="9">
        <v>17190</v>
      </c>
      <c r="BG197" s="9">
        <v>17170</v>
      </c>
      <c r="BH197" s="9">
        <v>16770</v>
      </c>
      <c r="BI197" s="9">
        <v>16460</v>
      </c>
      <c r="BJ197" s="9">
        <v>15970</v>
      </c>
      <c r="BK197" s="9">
        <v>15630</v>
      </c>
      <c r="BL197" s="9">
        <v>15810</v>
      </c>
      <c r="BM197" s="9">
        <v>15610</v>
      </c>
      <c r="BN197" s="9">
        <v>16090</v>
      </c>
      <c r="BO197" s="9">
        <v>16510</v>
      </c>
    </row>
    <row r="198" spans="1:67" x14ac:dyDescent="0.2">
      <c r="C198" s="3">
        <v>89</v>
      </c>
      <c r="E198" s="9">
        <v>1720</v>
      </c>
      <c r="F198" s="9">
        <v>1620</v>
      </c>
      <c r="G198" s="9">
        <v>1720</v>
      </c>
      <c r="H198" s="9">
        <v>2130</v>
      </c>
      <c r="I198" s="9">
        <v>2190</v>
      </c>
      <c r="J198" s="9">
        <v>2360</v>
      </c>
      <c r="K198" s="9">
        <v>2460</v>
      </c>
      <c r="L198" s="9">
        <v>2470</v>
      </c>
      <c r="M198" s="9">
        <v>2780</v>
      </c>
      <c r="N198" s="9">
        <v>2850</v>
      </c>
      <c r="O198" s="9">
        <v>3080</v>
      </c>
      <c r="P198" s="9">
        <v>3190</v>
      </c>
      <c r="Q198" s="9">
        <v>3320</v>
      </c>
      <c r="R198" s="9">
        <v>3360</v>
      </c>
      <c r="S198" s="9">
        <v>3650</v>
      </c>
      <c r="T198" s="9">
        <v>3620</v>
      </c>
      <c r="U198" s="9">
        <v>3550</v>
      </c>
      <c r="V198" s="9">
        <v>3720</v>
      </c>
      <c r="W198" s="9">
        <v>3880</v>
      </c>
      <c r="X198" s="9">
        <v>4000</v>
      </c>
      <c r="Y198" s="9">
        <v>4290</v>
      </c>
      <c r="Z198" s="9">
        <v>4570</v>
      </c>
      <c r="AA198" s="9">
        <v>4790</v>
      </c>
      <c r="AB198" s="9">
        <v>5440</v>
      </c>
      <c r="AC198" s="9">
        <v>5920</v>
      </c>
      <c r="AD198" s="9">
        <v>6170</v>
      </c>
      <c r="AE198" s="9">
        <v>5650</v>
      </c>
      <c r="AF198" s="9">
        <v>6500</v>
      </c>
      <c r="AG198" s="9">
        <v>6830</v>
      </c>
      <c r="AH198" s="9">
        <v>7350</v>
      </c>
      <c r="AI198" s="9">
        <v>8850</v>
      </c>
      <c r="AJ198" s="9">
        <v>8950</v>
      </c>
      <c r="AK198" s="9">
        <v>9110</v>
      </c>
      <c r="AL198" s="9">
        <v>9260</v>
      </c>
      <c r="AM198" s="9">
        <v>9480</v>
      </c>
      <c r="AN198" s="9">
        <v>9740</v>
      </c>
      <c r="AO198" s="9">
        <v>9980</v>
      </c>
      <c r="AP198" s="9">
        <v>10470</v>
      </c>
      <c r="AQ198" s="9">
        <v>10830</v>
      </c>
      <c r="AR198" s="9">
        <v>11390</v>
      </c>
      <c r="AS198" s="9">
        <v>11850</v>
      </c>
      <c r="AT198" s="9">
        <v>12020</v>
      </c>
      <c r="AU198" s="9">
        <v>12800</v>
      </c>
      <c r="AV198" s="9">
        <v>13140</v>
      </c>
      <c r="AW198" s="9">
        <v>13790</v>
      </c>
      <c r="AX198" s="9">
        <v>14300</v>
      </c>
      <c r="AY198" s="9">
        <v>14400</v>
      </c>
      <c r="AZ198" s="9">
        <v>14470</v>
      </c>
      <c r="BA198" s="9">
        <v>14180</v>
      </c>
      <c r="BB198" s="9">
        <v>14190</v>
      </c>
      <c r="BC198" s="9">
        <v>14300</v>
      </c>
      <c r="BD198" s="9">
        <v>14670</v>
      </c>
      <c r="BE198" s="9">
        <v>15060</v>
      </c>
      <c r="BF198" s="9">
        <v>15130</v>
      </c>
      <c r="BG198" s="9">
        <v>15660</v>
      </c>
      <c r="BH198" s="9">
        <v>15670</v>
      </c>
      <c r="BI198" s="9">
        <v>15310</v>
      </c>
      <c r="BJ198" s="9">
        <v>15050</v>
      </c>
      <c r="BK198" s="9">
        <v>14610</v>
      </c>
      <c r="BL198" s="9">
        <v>14320</v>
      </c>
      <c r="BM198" s="9">
        <v>14500</v>
      </c>
      <c r="BN198" s="9">
        <v>14320</v>
      </c>
      <c r="BO198" s="9">
        <v>14780</v>
      </c>
    </row>
    <row r="199" spans="1:67" x14ac:dyDescent="0.2">
      <c r="A199" s="3" t="s">
        <v>1136</v>
      </c>
      <c r="C199" s="3">
        <v>90</v>
      </c>
      <c r="E199" s="9">
        <v>5020</v>
      </c>
      <c r="F199" s="9">
        <v>5290</v>
      </c>
      <c r="G199" s="9">
        <v>5460</v>
      </c>
      <c r="H199" s="9">
        <v>5640</v>
      </c>
      <c r="I199" s="9">
        <v>6100</v>
      </c>
      <c r="J199" s="9">
        <v>6550</v>
      </c>
      <c r="K199" s="9">
        <v>7010</v>
      </c>
      <c r="L199" s="9">
        <v>7500</v>
      </c>
      <c r="M199" s="9">
        <v>2110</v>
      </c>
      <c r="N199" s="9">
        <v>2350</v>
      </c>
      <c r="O199" s="9">
        <v>2410</v>
      </c>
      <c r="P199" s="9">
        <v>2610</v>
      </c>
      <c r="Q199" s="9">
        <v>2700</v>
      </c>
      <c r="R199" s="9">
        <v>2820</v>
      </c>
      <c r="S199" s="9">
        <v>2850</v>
      </c>
      <c r="T199" s="9">
        <v>3100</v>
      </c>
      <c r="U199" s="9">
        <v>3090</v>
      </c>
      <c r="V199" s="9">
        <v>3030</v>
      </c>
      <c r="W199" s="9">
        <v>3180</v>
      </c>
      <c r="X199" s="9">
        <v>3320</v>
      </c>
      <c r="Y199" s="9">
        <v>3430</v>
      </c>
      <c r="Z199" s="9">
        <v>3680</v>
      </c>
      <c r="AA199" s="9">
        <v>3930</v>
      </c>
      <c r="AB199" s="9">
        <v>4130</v>
      </c>
      <c r="AC199" s="9">
        <v>4690</v>
      </c>
      <c r="AD199" s="9">
        <v>5110</v>
      </c>
      <c r="AE199" s="9">
        <v>5340</v>
      </c>
      <c r="AF199" s="9">
        <v>4900</v>
      </c>
      <c r="AG199" s="9">
        <v>5640</v>
      </c>
      <c r="AH199" s="9">
        <v>5930</v>
      </c>
      <c r="AI199" s="9">
        <v>6390</v>
      </c>
      <c r="AJ199" s="9">
        <v>7700</v>
      </c>
      <c r="AK199" s="9">
        <v>7800</v>
      </c>
      <c r="AL199" s="9">
        <v>7950</v>
      </c>
      <c r="AM199" s="9">
        <v>8100</v>
      </c>
      <c r="AN199" s="9">
        <v>8300</v>
      </c>
      <c r="AO199" s="9">
        <v>8530</v>
      </c>
      <c r="AP199" s="9">
        <v>8760</v>
      </c>
      <c r="AQ199" s="9">
        <v>9200</v>
      </c>
      <c r="AR199" s="9">
        <v>9530</v>
      </c>
      <c r="AS199" s="9">
        <v>10030</v>
      </c>
      <c r="AT199" s="9">
        <v>10450</v>
      </c>
      <c r="AU199" s="9">
        <v>10620</v>
      </c>
      <c r="AV199" s="9">
        <v>11310</v>
      </c>
      <c r="AW199" s="9">
        <v>11630</v>
      </c>
      <c r="AX199" s="9">
        <v>12220</v>
      </c>
      <c r="AY199" s="9">
        <v>12690</v>
      </c>
      <c r="AZ199" s="9">
        <v>12790</v>
      </c>
      <c r="BA199" s="9">
        <v>12860</v>
      </c>
      <c r="BB199" s="9">
        <v>12620</v>
      </c>
      <c r="BC199" s="9">
        <v>12650</v>
      </c>
      <c r="BD199" s="9">
        <v>12760</v>
      </c>
      <c r="BE199" s="9">
        <v>13110</v>
      </c>
      <c r="BF199" s="9">
        <v>13470</v>
      </c>
      <c r="BG199" s="9">
        <v>13550</v>
      </c>
      <c r="BH199" s="9">
        <v>14030</v>
      </c>
      <c r="BI199" s="9">
        <v>14060</v>
      </c>
      <c r="BJ199" s="9">
        <v>13750</v>
      </c>
      <c r="BK199" s="9">
        <v>13530</v>
      </c>
      <c r="BL199" s="9">
        <v>13150</v>
      </c>
      <c r="BM199" s="9">
        <v>12900</v>
      </c>
      <c r="BN199" s="9">
        <v>13070</v>
      </c>
      <c r="BO199" s="9">
        <v>12930</v>
      </c>
    </row>
    <row r="200" spans="1:67" x14ac:dyDescent="0.2">
      <c r="C200" s="3">
        <v>91</v>
      </c>
      <c r="E200" s="9"/>
      <c r="F200" s="9"/>
      <c r="G200" s="9"/>
      <c r="H200" s="9"/>
      <c r="I200" s="9"/>
      <c r="J200" s="9"/>
      <c r="K200" s="9"/>
      <c r="L200" s="9"/>
      <c r="M200" s="9">
        <v>1710</v>
      </c>
      <c r="N200" s="9">
        <v>1750</v>
      </c>
      <c r="O200" s="9">
        <v>1940</v>
      </c>
      <c r="P200" s="9">
        <v>1990</v>
      </c>
      <c r="Q200" s="9">
        <v>2160</v>
      </c>
      <c r="R200" s="9">
        <v>2250</v>
      </c>
      <c r="S200" s="9">
        <v>2350</v>
      </c>
      <c r="T200" s="9">
        <v>2380</v>
      </c>
      <c r="U200" s="9">
        <v>2590</v>
      </c>
      <c r="V200" s="9">
        <v>2580</v>
      </c>
      <c r="W200" s="9">
        <v>2540</v>
      </c>
      <c r="X200" s="9">
        <v>2670</v>
      </c>
      <c r="Y200" s="9">
        <v>2790</v>
      </c>
      <c r="Z200" s="9">
        <v>2890</v>
      </c>
      <c r="AA200" s="9">
        <v>3100</v>
      </c>
      <c r="AB200" s="9">
        <v>3310</v>
      </c>
      <c r="AC200" s="9">
        <v>3490</v>
      </c>
      <c r="AD200" s="9">
        <v>3970</v>
      </c>
      <c r="AE200" s="9">
        <v>4330</v>
      </c>
      <c r="AF200" s="9">
        <v>4530</v>
      </c>
      <c r="AG200" s="9">
        <v>4160</v>
      </c>
      <c r="AH200" s="9">
        <v>4800</v>
      </c>
      <c r="AI200" s="9">
        <v>5050</v>
      </c>
      <c r="AJ200" s="9">
        <v>5460</v>
      </c>
      <c r="AK200" s="9">
        <v>6580</v>
      </c>
      <c r="AL200" s="9">
        <v>6680</v>
      </c>
      <c r="AM200" s="9">
        <v>6810</v>
      </c>
      <c r="AN200" s="9">
        <v>6940</v>
      </c>
      <c r="AO200" s="9">
        <v>7130</v>
      </c>
      <c r="AP200" s="9">
        <v>7340</v>
      </c>
      <c r="AQ200" s="9">
        <v>7540</v>
      </c>
      <c r="AR200" s="9">
        <v>7930</v>
      </c>
      <c r="AS200" s="9">
        <v>8230</v>
      </c>
      <c r="AT200" s="9">
        <v>8670</v>
      </c>
      <c r="AU200" s="9">
        <v>9050</v>
      </c>
      <c r="AV200" s="9">
        <v>9200</v>
      </c>
      <c r="AW200" s="9">
        <v>9820</v>
      </c>
      <c r="AX200" s="9">
        <v>10100</v>
      </c>
      <c r="AY200" s="9">
        <v>10630</v>
      </c>
      <c r="AZ200" s="9">
        <v>11050</v>
      </c>
      <c r="BA200" s="9">
        <v>11150</v>
      </c>
      <c r="BB200" s="9">
        <v>11230</v>
      </c>
      <c r="BC200" s="9">
        <v>11030</v>
      </c>
      <c r="BD200" s="9">
        <v>11070</v>
      </c>
      <c r="BE200" s="9">
        <v>11170</v>
      </c>
      <c r="BF200" s="9">
        <v>11490</v>
      </c>
      <c r="BG200" s="9">
        <v>11820</v>
      </c>
      <c r="BH200" s="9">
        <v>11900</v>
      </c>
      <c r="BI200" s="9">
        <v>12350</v>
      </c>
      <c r="BJ200" s="9">
        <v>12380</v>
      </c>
      <c r="BK200" s="9">
        <v>12120</v>
      </c>
      <c r="BL200" s="9">
        <v>11940</v>
      </c>
      <c r="BM200" s="9">
        <v>11620</v>
      </c>
      <c r="BN200" s="9">
        <v>11410</v>
      </c>
      <c r="BO200" s="9">
        <v>11580</v>
      </c>
    </row>
    <row r="201" spans="1:67" x14ac:dyDescent="0.2">
      <c r="C201" s="3">
        <v>92</v>
      </c>
      <c r="E201" s="9"/>
      <c r="F201" s="9"/>
      <c r="G201" s="9"/>
      <c r="H201" s="9"/>
      <c r="I201" s="9"/>
      <c r="J201" s="9"/>
      <c r="K201" s="9"/>
      <c r="L201" s="9"/>
      <c r="M201" s="9">
        <v>1290</v>
      </c>
      <c r="N201" s="9">
        <v>1390</v>
      </c>
      <c r="O201" s="9">
        <v>1410</v>
      </c>
      <c r="P201" s="9">
        <v>1570</v>
      </c>
      <c r="Q201" s="9">
        <v>1620</v>
      </c>
      <c r="R201" s="9">
        <v>1760</v>
      </c>
      <c r="S201" s="9">
        <v>1830</v>
      </c>
      <c r="T201" s="9">
        <v>1910</v>
      </c>
      <c r="U201" s="9">
        <v>1940</v>
      </c>
      <c r="V201" s="9">
        <v>2120</v>
      </c>
      <c r="W201" s="9">
        <v>2110</v>
      </c>
      <c r="X201" s="9">
        <v>2080</v>
      </c>
      <c r="Y201" s="9">
        <v>2190</v>
      </c>
      <c r="Z201" s="9">
        <v>2290</v>
      </c>
      <c r="AA201" s="9">
        <v>2380</v>
      </c>
      <c r="AB201" s="9">
        <v>2560</v>
      </c>
      <c r="AC201" s="9">
        <v>2740</v>
      </c>
      <c r="AD201" s="9">
        <v>2880</v>
      </c>
      <c r="AE201" s="9">
        <v>3290</v>
      </c>
      <c r="AF201" s="9">
        <v>3590</v>
      </c>
      <c r="AG201" s="9">
        <v>3760</v>
      </c>
      <c r="AH201" s="9">
        <v>3460</v>
      </c>
      <c r="AI201" s="9">
        <v>4000</v>
      </c>
      <c r="AJ201" s="9">
        <v>4210</v>
      </c>
      <c r="AK201" s="9">
        <v>4560</v>
      </c>
      <c r="AL201" s="9">
        <v>5510</v>
      </c>
      <c r="AM201" s="9">
        <v>5590</v>
      </c>
      <c r="AN201" s="9">
        <v>5710</v>
      </c>
      <c r="AO201" s="9">
        <v>5830</v>
      </c>
      <c r="AP201" s="9">
        <v>5990</v>
      </c>
      <c r="AQ201" s="9">
        <v>6180</v>
      </c>
      <c r="AR201" s="9">
        <v>6360</v>
      </c>
      <c r="AS201" s="9">
        <v>6690</v>
      </c>
      <c r="AT201" s="9">
        <v>6960</v>
      </c>
      <c r="AU201" s="9">
        <v>7340</v>
      </c>
      <c r="AV201" s="9">
        <v>7670</v>
      </c>
      <c r="AW201" s="9">
        <v>7810</v>
      </c>
      <c r="AX201" s="9">
        <v>8340</v>
      </c>
      <c r="AY201" s="9">
        <v>8600</v>
      </c>
      <c r="AZ201" s="9">
        <v>9050</v>
      </c>
      <c r="BA201" s="9">
        <v>9420</v>
      </c>
      <c r="BB201" s="9">
        <v>9520</v>
      </c>
      <c r="BC201" s="9">
        <v>9600</v>
      </c>
      <c r="BD201" s="9">
        <v>9440</v>
      </c>
      <c r="BE201" s="9">
        <v>9480</v>
      </c>
      <c r="BF201" s="9">
        <v>9580</v>
      </c>
      <c r="BG201" s="9">
        <v>9870</v>
      </c>
      <c r="BH201" s="9">
        <v>10170</v>
      </c>
      <c r="BI201" s="9">
        <v>10250</v>
      </c>
      <c r="BJ201" s="9">
        <v>10640</v>
      </c>
      <c r="BK201" s="9">
        <v>10680</v>
      </c>
      <c r="BL201" s="9">
        <v>10470</v>
      </c>
      <c r="BM201" s="9">
        <v>10320</v>
      </c>
      <c r="BN201" s="9">
        <v>10060</v>
      </c>
      <c r="BO201" s="9">
        <v>9890</v>
      </c>
    </row>
    <row r="202" spans="1:67" x14ac:dyDescent="0.2">
      <c r="C202" s="3">
        <v>93</v>
      </c>
      <c r="E202" s="9"/>
      <c r="F202" s="9"/>
      <c r="G202" s="9"/>
      <c r="H202" s="9"/>
      <c r="I202" s="9"/>
      <c r="J202" s="9"/>
      <c r="K202" s="9"/>
      <c r="L202" s="9"/>
      <c r="M202" s="9">
        <v>970</v>
      </c>
      <c r="N202" s="9">
        <v>1020</v>
      </c>
      <c r="O202" s="9">
        <v>1100</v>
      </c>
      <c r="P202" s="9">
        <v>1120</v>
      </c>
      <c r="Q202" s="9">
        <v>1250</v>
      </c>
      <c r="R202" s="9">
        <v>1290</v>
      </c>
      <c r="S202" s="9">
        <v>1400</v>
      </c>
      <c r="T202" s="9">
        <v>1460</v>
      </c>
      <c r="U202" s="9">
        <v>1530</v>
      </c>
      <c r="V202" s="9">
        <v>1550</v>
      </c>
      <c r="W202" s="9">
        <v>1690</v>
      </c>
      <c r="X202" s="9">
        <v>1690</v>
      </c>
      <c r="Y202" s="9">
        <v>1670</v>
      </c>
      <c r="Z202" s="9">
        <v>1760</v>
      </c>
      <c r="AA202" s="9">
        <v>1840</v>
      </c>
      <c r="AB202" s="9">
        <v>1920</v>
      </c>
      <c r="AC202" s="9">
        <v>2060</v>
      </c>
      <c r="AD202" s="9">
        <v>2210</v>
      </c>
      <c r="AE202" s="9">
        <v>2330</v>
      </c>
      <c r="AF202" s="9">
        <v>2660</v>
      </c>
      <c r="AG202" s="9">
        <v>2920</v>
      </c>
      <c r="AH202" s="9">
        <v>3060</v>
      </c>
      <c r="AI202" s="9">
        <v>2820</v>
      </c>
      <c r="AJ202" s="9">
        <v>3250</v>
      </c>
      <c r="AK202" s="9">
        <v>3440</v>
      </c>
      <c r="AL202" s="9">
        <v>3720</v>
      </c>
      <c r="AM202" s="9">
        <v>4500</v>
      </c>
      <c r="AN202" s="9">
        <v>4580</v>
      </c>
      <c r="AO202" s="9">
        <v>4690</v>
      </c>
      <c r="AP202" s="9">
        <v>4790</v>
      </c>
      <c r="AQ202" s="9">
        <v>4930</v>
      </c>
      <c r="AR202" s="9">
        <v>5090</v>
      </c>
      <c r="AS202" s="9">
        <v>5240</v>
      </c>
      <c r="AT202" s="9">
        <v>5520</v>
      </c>
      <c r="AU202" s="9">
        <v>5750</v>
      </c>
      <c r="AV202" s="9">
        <v>6070</v>
      </c>
      <c r="AW202" s="9">
        <v>6350</v>
      </c>
      <c r="AX202" s="9">
        <v>6470</v>
      </c>
      <c r="AY202" s="9">
        <v>6930</v>
      </c>
      <c r="AZ202" s="9">
        <v>7150</v>
      </c>
      <c r="BA202" s="9">
        <v>7540</v>
      </c>
      <c r="BB202" s="9">
        <v>7860</v>
      </c>
      <c r="BC202" s="9">
        <v>7950</v>
      </c>
      <c r="BD202" s="9">
        <v>8020</v>
      </c>
      <c r="BE202" s="9">
        <v>7900</v>
      </c>
      <c r="BF202" s="9">
        <v>7940</v>
      </c>
      <c r="BG202" s="9">
        <v>8040</v>
      </c>
      <c r="BH202" s="9">
        <v>8290</v>
      </c>
      <c r="BI202" s="9">
        <v>8550</v>
      </c>
      <c r="BJ202" s="9">
        <v>8620</v>
      </c>
      <c r="BK202" s="9">
        <v>8970</v>
      </c>
      <c r="BL202" s="9">
        <v>9010</v>
      </c>
      <c r="BM202" s="9">
        <v>8840</v>
      </c>
      <c r="BN202" s="9">
        <v>8730</v>
      </c>
      <c r="BO202" s="9">
        <v>8520</v>
      </c>
    </row>
    <row r="203" spans="1:67" x14ac:dyDescent="0.2">
      <c r="C203" s="3">
        <v>94</v>
      </c>
      <c r="E203" s="9"/>
      <c r="F203" s="9"/>
      <c r="G203" s="9"/>
      <c r="H203" s="9"/>
      <c r="I203" s="9"/>
      <c r="J203" s="9"/>
      <c r="K203" s="9"/>
      <c r="L203" s="9"/>
      <c r="M203" s="9">
        <v>730</v>
      </c>
      <c r="N203" s="9">
        <v>750</v>
      </c>
      <c r="O203" s="9">
        <v>790</v>
      </c>
      <c r="P203" s="9">
        <v>850</v>
      </c>
      <c r="Q203" s="9">
        <v>860</v>
      </c>
      <c r="R203" s="9">
        <v>970</v>
      </c>
      <c r="S203" s="9">
        <v>1000</v>
      </c>
      <c r="T203" s="9">
        <v>1080</v>
      </c>
      <c r="U203" s="9">
        <v>1130</v>
      </c>
      <c r="V203" s="9">
        <v>1190</v>
      </c>
      <c r="W203" s="9">
        <v>1210</v>
      </c>
      <c r="X203" s="9">
        <v>1320</v>
      </c>
      <c r="Y203" s="9">
        <v>1320</v>
      </c>
      <c r="Z203" s="9">
        <v>1310</v>
      </c>
      <c r="AA203" s="9">
        <v>1380</v>
      </c>
      <c r="AB203" s="9">
        <v>1450</v>
      </c>
      <c r="AC203" s="9">
        <v>1510</v>
      </c>
      <c r="AD203" s="9">
        <v>1620</v>
      </c>
      <c r="AE203" s="9">
        <v>1740</v>
      </c>
      <c r="AF203" s="9">
        <v>1840</v>
      </c>
      <c r="AG203" s="9">
        <v>2100</v>
      </c>
      <c r="AH203" s="9">
        <v>2310</v>
      </c>
      <c r="AI203" s="9">
        <v>2420</v>
      </c>
      <c r="AJ203" s="9">
        <v>2230</v>
      </c>
      <c r="AK203" s="9">
        <v>2590</v>
      </c>
      <c r="AL203" s="9">
        <v>2740</v>
      </c>
      <c r="AM203" s="9">
        <v>2970</v>
      </c>
      <c r="AN203" s="9">
        <v>3590</v>
      </c>
      <c r="AO203" s="9">
        <v>3660</v>
      </c>
      <c r="AP203" s="9">
        <v>3750</v>
      </c>
      <c r="AQ203" s="9">
        <v>3840</v>
      </c>
      <c r="AR203" s="9">
        <v>3950</v>
      </c>
      <c r="AS203" s="9">
        <v>4090</v>
      </c>
      <c r="AT203" s="9">
        <v>4220</v>
      </c>
      <c r="AU203" s="9">
        <v>4450</v>
      </c>
      <c r="AV203" s="9">
        <v>4630</v>
      </c>
      <c r="AW203" s="9">
        <v>4900</v>
      </c>
      <c r="AX203" s="9">
        <v>5130</v>
      </c>
      <c r="AY203" s="9">
        <v>5240</v>
      </c>
      <c r="AZ203" s="9">
        <v>5610</v>
      </c>
      <c r="BA203" s="9">
        <v>5800</v>
      </c>
      <c r="BB203" s="9">
        <v>6120</v>
      </c>
      <c r="BC203" s="9">
        <v>6390</v>
      </c>
      <c r="BD203" s="9">
        <v>6470</v>
      </c>
      <c r="BE203" s="9">
        <v>6540</v>
      </c>
      <c r="BF203" s="9">
        <v>6450</v>
      </c>
      <c r="BG203" s="9">
        <v>6490</v>
      </c>
      <c r="BH203" s="9">
        <v>6580</v>
      </c>
      <c r="BI203" s="9">
        <v>6790</v>
      </c>
      <c r="BJ203" s="9">
        <v>7010</v>
      </c>
      <c r="BK203" s="9">
        <v>7080</v>
      </c>
      <c r="BL203" s="9">
        <v>7370</v>
      </c>
      <c r="BM203" s="9">
        <v>7420</v>
      </c>
      <c r="BN203" s="9">
        <v>7290</v>
      </c>
      <c r="BO203" s="9">
        <v>7200</v>
      </c>
    </row>
    <row r="204" spans="1:67" x14ac:dyDescent="0.2">
      <c r="C204" s="3" t="s">
        <v>1137</v>
      </c>
      <c r="E204" s="9"/>
      <c r="F204" s="9"/>
      <c r="G204" s="9"/>
      <c r="H204" s="9"/>
      <c r="I204" s="9"/>
      <c r="J204" s="9"/>
      <c r="K204" s="9"/>
      <c r="L204" s="9"/>
      <c r="M204" s="9">
        <v>1300</v>
      </c>
      <c r="N204" s="9">
        <v>1400</v>
      </c>
      <c r="O204" s="9">
        <v>1500</v>
      </c>
      <c r="P204" s="9">
        <v>1700</v>
      </c>
      <c r="Q204" s="9">
        <v>1800</v>
      </c>
      <c r="R204" s="9">
        <v>1900</v>
      </c>
      <c r="S204" s="9">
        <v>2000</v>
      </c>
      <c r="T204" s="9">
        <v>2200</v>
      </c>
      <c r="U204" s="9">
        <v>2300</v>
      </c>
      <c r="V204" s="9">
        <v>2500</v>
      </c>
      <c r="W204" s="9">
        <v>2600</v>
      </c>
      <c r="X204" s="9">
        <v>2800</v>
      </c>
      <c r="Y204" s="9">
        <v>2900</v>
      </c>
      <c r="Z204" s="9">
        <v>3100</v>
      </c>
      <c r="AA204" s="9">
        <v>3100</v>
      </c>
      <c r="AB204" s="9">
        <v>3200</v>
      </c>
      <c r="AC204" s="9">
        <v>3400</v>
      </c>
      <c r="AD204" s="9">
        <v>3500</v>
      </c>
      <c r="AE204" s="9">
        <v>3700</v>
      </c>
      <c r="AF204" s="9">
        <v>4000</v>
      </c>
      <c r="AG204" s="9">
        <v>4200</v>
      </c>
      <c r="AH204" s="9">
        <v>4600</v>
      </c>
      <c r="AI204" s="9">
        <v>5000</v>
      </c>
      <c r="AJ204" s="9">
        <v>5400</v>
      </c>
      <c r="AK204" s="9">
        <v>5600</v>
      </c>
      <c r="AL204" s="9">
        <v>6000</v>
      </c>
      <c r="AM204" s="9">
        <v>6400</v>
      </c>
      <c r="AN204" s="9">
        <v>6800</v>
      </c>
      <c r="AO204" s="9">
        <v>7700</v>
      </c>
      <c r="AP204" s="9">
        <v>8300</v>
      </c>
      <c r="AQ204" s="9">
        <v>8900</v>
      </c>
      <c r="AR204" s="9">
        <v>9400</v>
      </c>
      <c r="AS204" s="9">
        <v>9800</v>
      </c>
      <c r="AT204" s="9">
        <v>10200</v>
      </c>
      <c r="AU204" s="9">
        <v>10600</v>
      </c>
      <c r="AV204" s="9">
        <v>11100</v>
      </c>
      <c r="AW204" s="9">
        <v>11600</v>
      </c>
      <c r="AX204" s="9">
        <v>12200</v>
      </c>
      <c r="AY204" s="9">
        <v>12800</v>
      </c>
      <c r="AZ204" s="9">
        <v>13400</v>
      </c>
      <c r="BA204" s="9">
        <v>14100</v>
      </c>
      <c r="BB204" s="9">
        <v>14700</v>
      </c>
      <c r="BC204" s="9">
        <v>15500</v>
      </c>
      <c r="BD204" s="9">
        <v>16300</v>
      </c>
      <c r="BE204" s="9">
        <v>16900</v>
      </c>
      <c r="BF204" s="9">
        <v>17500</v>
      </c>
      <c r="BG204" s="9">
        <v>17800</v>
      </c>
      <c r="BH204" s="9">
        <v>18100</v>
      </c>
      <c r="BI204" s="9">
        <v>18300</v>
      </c>
      <c r="BJ204" s="9">
        <v>18700</v>
      </c>
      <c r="BK204" s="9">
        <v>19200</v>
      </c>
      <c r="BL204" s="9">
        <v>19600</v>
      </c>
      <c r="BM204" s="9">
        <v>20200</v>
      </c>
      <c r="BN204" s="9">
        <v>20700</v>
      </c>
      <c r="BO204" s="9">
        <v>20900</v>
      </c>
    </row>
    <row r="205" spans="1:67" x14ac:dyDescent="0.2">
      <c r="C205" s="2" t="s">
        <v>104</v>
      </c>
      <c r="E205" s="10">
        <f>SUM(E$109:E$204)</f>
        <v>2048380</v>
      </c>
      <c r="F205" s="10">
        <f t="shared" ref="F205:BO205" si="2">SUM(F$109:F$204)</f>
        <v>2066490</v>
      </c>
      <c r="G205" s="10">
        <f t="shared" si="2"/>
        <v>2083420</v>
      </c>
      <c r="H205" s="10">
        <f t="shared" si="2"/>
        <v>2104650</v>
      </c>
      <c r="I205" s="10">
        <f t="shared" si="2"/>
        <v>2127750</v>
      </c>
      <c r="J205" s="10">
        <f t="shared" si="2"/>
        <v>2143560</v>
      </c>
      <c r="K205" s="10">
        <f t="shared" si="2"/>
        <v>2154980</v>
      </c>
      <c r="L205" s="10">
        <f t="shared" si="2"/>
        <v>2172160</v>
      </c>
      <c r="M205" s="10">
        <f t="shared" si="2"/>
        <v>2209580</v>
      </c>
      <c r="N205" s="10">
        <f t="shared" si="2"/>
        <v>2254070</v>
      </c>
      <c r="O205" s="10">
        <f t="shared" si="2"/>
        <v>2287110</v>
      </c>
      <c r="P205" s="10">
        <f t="shared" si="2"/>
        <v>2308780</v>
      </c>
      <c r="Q205" s="10">
        <f t="shared" si="2"/>
        <v>2330430</v>
      </c>
      <c r="R205" s="10">
        <f t="shared" si="2"/>
        <v>2352170</v>
      </c>
      <c r="S205" s="10">
        <f t="shared" si="2"/>
        <v>2373860</v>
      </c>
      <c r="T205" s="10">
        <f t="shared" si="2"/>
        <v>2395680</v>
      </c>
      <c r="U205" s="10">
        <f t="shared" si="2"/>
        <v>2417310</v>
      </c>
      <c r="V205" s="10">
        <f t="shared" si="2"/>
        <v>2439000</v>
      </c>
      <c r="W205" s="10">
        <f t="shared" si="2"/>
        <v>2460440</v>
      </c>
      <c r="X205" s="10">
        <f t="shared" si="2"/>
        <v>2481710</v>
      </c>
      <c r="Y205" s="10">
        <f t="shared" si="2"/>
        <v>2502720</v>
      </c>
      <c r="Z205" s="10">
        <f t="shared" si="2"/>
        <v>2523510</v>
      </c>
      <c r="AA205" s="10">
        <f t="shared" si="2"/>
        <v>2543920</v>
      </c>
      <c r="AB205" s="10">
        <f t="shared" si="2"/>
        <v>2563960</v>
      </c>
      <c r="AC205" s="10">
        <f t="shared" si="2"/>
        <v>2583600</v>
      </c>
      <c r="AD205" s="10">
        <f t="shared" si="2"/>
        <v>2602740</v>
      </c>
      <c r="AE205" s="10">
        <f t="shared" si="2"/>
        <v>2621440</v>
      </c>
      <c r="AF205" s="10">
        <f t="shared" si="2"/>
        <v>2639660</v>
      </c>
      <c r="AG205" s="10">
        <f t="shared" si="2"/>
        <v>2657290</v>
      </c>
      <c r="AH205" s="10">
        <f t="shared" si="2"/>
        <v>2674570</v>
      </c>
      <c r="AI205" s="10">
        <f t="shared" si="2"/>
        <v>2691350</v>
      </c>
      <c r="AJ205" s="10">
        <f t="shared" si="2"/>
        <v>2707700</v>
      </c>
      <c r="AK205" s="10">
        <f t="shared" si="2"/>
        <v>2723840</v>
      </c>
      <c r="AL205" s="10">
        <f t="shared" si="2"/>
        <v>2739570</v>
      </c>
      <c r="AM205" s="10">
        <f t="shared" si="2"/>
        <v>2754930</v>
      </c>
      <c r="AN205" s="10">
        <f t="shared" si="2"/>
        <v>2769910</v>
      </c>
      <c r="AO205" s="10">
        <f t="shared" si="2"/>
        <v>2784750</v>
      </c>
      <c r="AP205" s="10">
        <f t="shared" si="2"/>
        <v>2799210</v>
      </c>
      <c r="AQ205" s="10">
        <f t="shared" si="2"/>
        <v>2813420</v>
      </c>
      <c r="AR205" s="10">
        <f t="shared" si="2"/>
        <v>2827400</v>
      </c>
      <c r="AS205" s="10">
        <f t="shared" si="2"/>
        <v>2841080</v>
      </c>
      <c r="AT205" s="10">
        <f t="shared" si="2"/>
        <v>2854480</v>
      </c>
      <c r="AU205" s="10">
        <f t="shared" si="2"/>
        <v>2867620</v>
      </c>
      <c r="AV205" s="10">
        <f t="shared" si="2"/>
        <v>2880580</v>
      </c>
      <c r="AW205" s="10">
        <f t="shared" si="2"/>
        <v>2893360</v>
      </c>
      <c r="AX205" s="10">
        <f t="shared" si="2"/>
        <v>2905950</v>
      </c>
      <c r="AY205" s="10">
        <f t="shared" si="2"/>
        <v>2918400</v>
      </c>
      <c r="AZ205" s="10">
        <f t="shared" si="2"/>
        <v>2930820</v>
      </c>
      <c r="BA205" s="10">
        <f t="shared" si="2"/>
        <v>2943140</v>
      </c>
      <c r="BB205" s="10">
        <f t="shared" si="2"/>
        <v>2955380</v>
      </c>
      <c r="BC205" s="10">
        <f t="shared" si="2"/>
        <v>2967730</v>
      </c>
      <c r="BD205" s="10">
        <f t="shared" si="2"/>
        <v>2980050</v>
      </c>
      <c r="BE205" s="10">
        <f t="shared" si="2"/>
        <v>2992380</v>
      </c>
      <c r="BF205" s="10">
        <f t="shared" si="2"/>
        <v>3004830</v>
      </c>
      <c r="BG205" s="10">
        <f t="shared" si="2"/>
        <v>3017290</v>
      </c>
      <c r="BH205" s="10">
        <f t="shared" si="2"/>
        <v>3029900</v>
      </c>
      <c r="BI205" s="10">
        <f t="shared" si="2"/>
        <v>3042460</v>
      </c>
      <c r="BJ205" s="10">
        <f t="shared" si="2"/>
        <v>3055080</v>
      </c>
      <c r="BK205" s="10">
        <f t="shared" si="2"/>
        <v>3067860</v>
      </c>
      <c r="BL205" s="10">
        <f t="shared" si="2"/>
        <v>3080620</v>
      </c>
      <c r="BM205" s="10">
        <f t="shared" si="2"/>
        <v>3093500</v>
      </c>
      <c r="BN205" s="10">
        <f t="shared" si="2"/>
        <v>3106400</v>
      </c>
      <c r="BO205" s="10">
        <f t="shared" si="2"/>
        <v>3119220</v>
      </c>
    </row>
    <row r="208" spans="1:67" x14ac:dyDescent="0.2">
      <c r="A208" s="2" t="s">
        <v>447</v>
      </c>
      <c r="I208" s="7">
        <f>I$6</f>
        <v>2010</v>
      </c>
      <c r="J208" s="7">
        <f t="shared" ref="J208:BO208" si="3">J$6</f>
        <v>2011</v>
      </c>
      <c r="K208" s="7">
        <f t="shared" si="3"/>
        <v>2012</v>
      </c>
      <c r="L208" s="7">
        <f t="shared" si="3"/>
        <v>2013</v>
      </c>
      <c r="M208" s="7">
        <f t="shared" si="3"/>
        <v>2014</v>
      </c>
      <c r="N208" s="7">
        <f t="shared" si="3"/>
        <v>2015</v>
      </c>
      <c r="O208" s="7">
        <f t="shared" si="3"/>
        <v>2016</v>
      </c>
      <c r="P208" s="7">
        <f t="shared" si="3"/>
        <v>2017</v>
      </c>
      <c r="Q208" s="7">
        <f t="shared" si="3"/>
        <v>2018</v>
      </c>
      <c r="R208" s="7">
        <f t="shared" si="3"/>
        <v>2019</v>
      </c>
      <c r="S208" s="7">
        <f t="shared" si="3"/>
        <v>2020</v>
      </c>
      <c r="T208" s="7">
        <f t="shared" si="3"/>
        <v>2021</v>
      </c>
      <c r="U208" s="7">
        <f t="shared" si="3"/>
        <v>2022</v>
      </c>
      <c r="V208" s="7">
        <f t="shared" si="3"/>
        <v>2023</v>
      </c>
      <c r="W208" s="7">
        <f t="shared" si="3"/>
        <v>2024</v>
      </c>
      <c r="X208" s="7">
        <f t="shared" si="3"/>
        <v>2025</v>
      </c>
      <c r="Y208" s="7">
        <f t="shared" si="3"/>
        <v>2026</v>
      </c>
      <c r="Z208" s="7">
        <f t="shared" si="3"/>
        <v>2027</v>
      </c>
      <c r="AA208" s="7">
        <f t="shared" si="3"/>
        <v>2028</v>
      </c>
      <c r="AB208" s="7">
        <f t="shared" si="3"/>
        <v>2029</v>
      </c>
      <c r="AC208" s="7">
        <f t="shared" si="3"/>
        <v>2030</v>
      </c>
      <c r="AD208" s="7">
        <f t="shared" si="3"/>
        <v>2031</v>
      </c>
      <c r="AE208" s="7">
        <f t="shared" si="3"/>
        <v>2032</v>
      </c>
      <c r="AF208" s="7">
        <f t="shared" si="3"/>
        <v>2033</v>
      </c>
      <c r="AG208" s="7">
        <f t="shared" si="3"/>
        <v>2034</v>
      </c>
      <c r="AH208" s="7">
        <f t="shared" si="3"/>
        <v>2035</v>
      </c>
      <c r="AI208" s="7">
        <f t="shared" si="3"/>
        <v>2036</v>
      </c>
      <c r="AJ208" s="7">
        <f t="shared" si="3"/>
        <v>2037</v>
      </c>
      <c r="AK208" s="7">
        <f t="shared" si="3"/>
        <v>2038</v>
      </c>
      <c r="AL208" s="7">
        <f t="shared" si="3"/>
        <v>2039</v>
      </c>
      <c r="AM208" s="7">
        <f t="shared" si="3"/>
        <v>2040</v>
      </c>
      <c r="AN208" s="7">
        <f t="shared" si="3"/>
        <v>2041</v>
      </c>
      <c r="AO208" s="7">
        <f t="shared" si="3"/>
        <v>2042</v>
      </c>
      <c r="AP208" s="7">
        <f t="shared" si="3"/>
        <v>2043</v>
      </c>
      <c r="AQ208" s="7">
        <f t="shared" si="3"/>
        <v>2044</v>
      </c>
      <c r="AR208" s="7">
        <f t="shared" si="3"/>
        <v>2045</v>
      </c>
      <c r="AS208" s="7">
        <f t="shared" si="3"/>
        <v>2046</v>
      </c>
      <c r="AT208" s="7">
        <f t="shared" si="3"/>
        <v>2047</v>
      </c>
      <c r="AU208" s="7">
        <f t="shared" si="3"/>
        <v>2048</v>
      </c>
      <c r="AV208" s="7">
        <f t="shared" si="3"/>
        <v>2049</v>
      </c>
      <c r="AW208" s="7">
        <f t="shared" si="3"/>
        <v>2050</v>
      </c>
      <c r="AX208" s="7">
        <f t="shared" si="3"/>
        <v>2051</v>
      </c>
      <c r="AY208" s="7">
        <f t="shared" si="3"/>
        <v>2052</v>
      </c>
      <c r="AZ208" s="7">
        <f t="shared" si="3"/>
        <v>2053</v>
      </c>
      <c r="BA208" s="7">
        <f t="shared" si="3"/>
        <v>2054</v>
      </c>
      <c r="BB208" s="7">
        <f t="shared" si="3"/>
        <v>2055</v>
      </c>
      <c r="BC208" s="7">
        <f t="shared" si="3"/>
        <v>2056</v>
      </c>
      <c r="BD208" s="7">
        <f t="shared" si="3"/>
        <v>2057</v>
      </c>
      <c r="BE208" s="7">
        <f t="shared" si="3"/>
        <v>2058</v>
      </c>
      <c r="BF208" s="7">
        <f t="shared" si="3"/>
        <v>2059</v>
      </c>
      <c r="BG208" s="7">
        <f t="shared" si="3"/>
        <v>2060</v>
      </c>
      <c r="BH208" s="7">
        <f t="shared" si="3"/>
        <v>2061</v>
      </c>
      <c r="BI208" s="7">
        <f t="shared" si="3"/>
        <v>2062</v>
      </c>
      <c r="BJ208" s="7">
        <f t="shared" si="3"/>
        <v>2063</v>
      </c>
      <c r="BK208" s="7">
        <f t="shared" si="3"/>
        <v>2064</v>
      </c>
      <c r="BL208" s="7">
        <f t="shared" si="3"/>
        <v>2065</v>
      </c>
      <c r="BM208" s="7">
        <f t="shared" si="3"/>
        <v>2066</v>
      </c>
      <c r="BN208" s="7">
        <f t="shared" si="3"/>
        <v>2067</v>
      </c>
      <c r="BO208" s="7">
        <f t="shared" si="3"/>
        <v>2068</v>
      </c>
    </row>
    <row r="209" spans="1:67" x14ac:dyDescent="0.2">
      <c r="A209" s="2" t="s">
        <v>98</v>
      </c>
    </row>
    <row r="210" spans="1:67" x14ac:dyDescent="0.2">
      <c r="A210" s="2"/>
      <c r="C210" s="3" t="s">
        <v>473</v>
      </c>
      <c r="F210" s="30">
        <f>SUM(F$26:F$27)/SUM(E$26:E$27)-1</f>
        <v>2.1950055670431068E-2</v>
      </c>
      <c r="G210" s="30">
        <f t="shared" ref="G210:BO210" si="4">SUM(G$26:G$27)/SUM(F$26:F$27)-1</f>
        <v>-1.1984435797665394E-2</v>
      </c>
      <c r="H210" s="30">
        <f t="shared" si="4"/>
        <v>-1.5280403276622612E-2</v>
      </c>
      <c r="I210" s="30">
        <f t="shared" si="4"/>
        <v>-8.6386178211486087E-3</v>
      </c>
      <c r="J210" s="30">
        <f t="shared" si="4"/>
        <v>-6.6161045667257889E-3</v>
      </c>
      <c r="K210" s="30">
        <f t="shared" si="4"/>
        <v>-8.2846003898635612E-3</v>
      </c>
      <c r="L210" s="30">
        <f t="shared" si="4"/>
        <v>-4.2588042588042052E-3</v>
      </c>
      <c r="M210" s="30">
        <f t="shared" si="4"/>
        <v>3.4545155453200582E-3</v>
      </c>
      <c r="N210" s="30">
        <f t="shared" si="4"/>
        <v>-1.0327868852459066E-2</v>
      </c>
      <c r="O210" s="30">
        <f t="shared" si="4"/>
        <v>4.4724200761967481E-3</v>
      </c>
      <c r="P210" s="30">
        <f t="shared" si="4"/>
        <v>7.7506596306069486E-3</v>
      </c>
      <c r="Q210" s="30">
        <f t="shared" si="4"/>
        <v>-2.6182294223531355E-2</v>
      </c>
      <c r="R210" s="30">
        <f t="shared" si="4"/>
        <v>-2.5205847756679556E-2</v>
      </c>
      <c r="S210" s="30">
        <f t="shared" si="4"/>
        <v>3.6200655059472897E-3</v>
      </c>
      <c r="T210" s="30">
        <f t="shared" si="4"/>
        <v>5.1528684300927718E-3</v>
      </c>
      <c r="U210" s="30">
        <f t="shared" si="4"/>
        <v>7.3479152426521033E-3</v>
      </c>
      <c r="V210" s="30">
        <f t="shared" si="4"/>
        <v>3.172179813401188E-2</v>
      </c>
      <c r="W210" s="30">
        <f t="shared" si="4"/>
        <v>3.8145346925353429E-2</v>
      </c>
      <c r="X210" s="30">
        <f t="shared" si="4"/>
        <v>1.0136205258156394E-2</v>
      </c>
      <c r="Y210" s="30">
        <f t="shared" si="4"/>
        <v>3.9197240514268206E-3</v>
      </c>
      <c r="Z210" s="30">
        <f t="shared" si="4"/>
        <v>6.2470716851481534E-4</v>
      </c>
      <c r="AA210" s="30">
        <f t="shared" si="4"/>
        <v>-2.0290307476197866E-2</v>
      </c>
      <c r="AB210" s="30">
        <f t="shared" si="4"/>
        <v>-1.9436036323084327E-2</v>
      </c>
      <c r="AC210" s="30">
        <f t="shared" si="4"/>
        <v>-2.664500406173842E-2</v>
      </c>
      <c r="AD210" s="30">
        <f t="shared" si="4"/>
        <v>-2.136538140544153E-2</v>
      </c>
      <c r="AE210" s="30">
        <f t="shared" si="4"/>
        <v>1.7056114617091112E-3</v>
      </c>
      <c r="AF210" s="30">
        <f t="shared" si="4"/>
        <v>1.1918951132300348E-2</v>
      </c>
      <c r="AG210" s="30">
        <f t="shared" si="4"/>
        <v>9.7593807841158675E-3</v>
      </c>
      <c r="AH210" s="30">
        <f t="shared" si="4"/>
        <v>8.8318613564406512E-3</v>
      </c>
      <c r="AI210" s="30">
        <f t="shared" si="4"/>
        <v>8.7545424512718295E-3</v>
      </c>
      <c r="AJ210" s="30">
        <f t="shared" si="4"/>
        <v>7.8598329785493082E-3</v>
      </c>
      <c r="AK210" s="30">
        <f t="shared" si="4"/>
        <v>6.8237205523964395E-3</v>
      </c>
      <c r="AL210" s="30">
        <f t="shared" si="4"/>
        <v>5.9706309504599098E-3</v>
      </c>
      <c r="AM210" s="30">
        <f t="shared" si="4"/>
        <v>4.6519088867500447E-3</v>
      </c>
      <c r="AN210" s="30">
        <f t="shared" si="4"/>
        <v>3.8320293788918214E-3</v>
      </c>
      <c r="AO210" s="30">
        <f t="shared" si="4"/>
        <v>2.7039923651981379E-3</v>
      </c>
      <c r="AP210" s="30">
        <f t="shared" si="4"/>
        <v>1.5862944162436943E-3</v>
      </c>
      <c r="AQ210" s="30">
        <f t="shared" si="4"/>
        <v>6.3351282863477465E-4</v>
      </c>
      <c r="AR210" s="30">
        <f t="shared" si="4"/>
        <v>-1.5827793605571738E-4</v>
      </c>
      <c r="AS210" s="30">
        <f t="shared" si="4"/>
        <v>-1.4247269273389707E-3</v>
      </c>
      <c r="AT210" s="30">
        <f t="shared" si="4"/>
        <v>-1.9023462270133518E-3</v>
      </c>
      <c r="AU210" s="30">
        <f t="shared" si="4"/>
        <v>-2.3824650571792061E-3</v>
      </c>
      <c r="AV210" s="30">
        <f t="shared" si="4"/>
        <v>-2.5473650692564576E-3</v>
      </c>
      <c r="AW210" s="30">
        <f t="shared" si="4"/>
        <v>-2.5538707102953362E-3</v>
      </c>
      <c r="AX210" s="30">
        <f t="shared" si="4"/>
        <v>-1.9203072491598139E-3</v>
      </c>
      <c r="AY210" s="30">
        <f t="shared" si="4"/>
        <v>-1.282667949334626E-3</v>
      </c>
      <c r="AZ210" s="30">
        <f t="shared" si="4"/>
        <v>-6.4215764970299016E-4</v>
      </c>
      <c r="BA210" s="30">
        <f t="shared" si="4"/>
        <v>3.2128514056228852E-4</v>
      </c>
      <c r="BB210" s="30">
        <f t="shared" si="4"/>
        <v>8.0295487393611253E-4</v>
      </c>
      <c r="BC210" s="30">
        <f t="shared" si="4"/>
        <v>1.1232349165597455E-3</v>
      </c>
      <c r="BD210" s="30">
        <f t="shared" si="4"/>
        <v>1.2822567719186218E-3</v>
      </c>
      <c r="BE210" s="30">
        <f t="shared" si="4"/>
        <v>1.4406915319353786E-3</v>
      </c>
      <c r="BF210" s="30">
        <f t="shared" si="4"/>
        <v>1.1189258312021E-3</v>
      </c>
      <c r="BG210" s="30">
        <f t="shared" si="4"/>
        <v>1.1176752355102071E-3</v>
      </c>
      <c r="BH210" s="30">
        <f t="shared" si="4"/>
        <v>7.9744816586924117E-4</v>
      </c>
      <c r="BI210" s="30">
        <f t="shared" si="4"/>
        <v>6.3745019920324886E-4</v>
      </c>
      <c r="BJ210" s="30">
        <f t="shared" si="4"/>
        <v>3.1852205765248165E-4</v>
      </c>
      <c r="BK210" s="30">
        <f t="shared" si="4"/>
        <v>3.1842063365705719E-4</v>
      </c>
      <c r="BL210" s="30">
        <f t="shared" si="4"/>
        <v>6.3663854846418566E-4</v>
      </c>
      <c r="BM210" s="30">
        <f t="shared" si="4"/>
        <v>7.9529187211702101E-4</v>
      </c>
      <c r="BN210" s="30">
        <f t="shared" si="4"/>
        <v>9.5359186268284546E-4</v>
      </c>
      <c r="BO210" s="30">
        <f t="shared" si="4"/>
        <v>1.4290250873292276E-3</v>
      </c>
    </row>
    <row r="211" spans="1:67" x14ac:dyDescent="0.2">
      <c r="C211" s="3" t="s">
        <v>448</v>
      </c>
      <c r="F211" s="30">
        <f>SUM(F$28:F$29)/SUM(E$28:E$29)-1</f>
        <v>2.3122362869198332E-2</v>
      </c>
      <c r="G211" s="30">
        <f t="shared" ref="G211:BO211" si="5">SUM(G$28:G$29)/SUM(F$28:F$29)-1</f>
        <v>2.5734081161332911E-2</v>
      </c>
      <c r="H211" s="30">
        <f t="shared" si="5"/>
        <v>2.8948214860083699E-2</v>
      </c>
      <c r="I211" s="30">
        <f t="shared" si="5"/>
        <v>-1.5629884338855815E-3</v>
      </c>
      <c r="J211" s="30">
        <f t="shared" si="5"/>
        <v>-1.8159048215403928E-2</v>
      </c>
      <c r="K211" s="30">
        <f t="shared" si="5"/>
        <v>-1.2595663265306145E-2</v>
      </c>
      <c r="L211" s="30">
        <f t="shared" si="5"/>
        <v>-5.1671241724527972E-3</v>
      </c>
      <c r="M211" s="30">
        <f t="shared" si="5"/>
        <v>5.5185846453498222E-3</v>
      </c>
      <c r="N211" s="30">
        <f t="shared" si="5"/>
        <v>9.6852300242131761E-3</v>
      </c>
      <c r="O211" s="30">
        <f t="shared" si="5"/>
        <v>2.5579536370903266E-3</v>
      </c>
      <c r="P211" s="30">
        <f t="shared" si="5"/>
        <v>-2.2484452240472019E-2</v>
      </c>
      <c r="Q211" s="30">
        <f t="shared" si="5"/>
        <v>-8.1566068515492862E-4</v>
      </c>
      <c r="R211" s="30">
        <f t="shared" si="5"/>
        <v>7.6734693877551496E-3</v>
      </c>
      <c r="S211" s="30">
        <f t="shared" si="5"/>
        <v>-2.5923525599481523E-2</v>
      </c>
      <c r="T211" s="30">
        <f t="shared" si="5"/>
        <v>-2.4783765801729918E-2</v>
      </c>
      <c r="U211" s="30">
        <f t="shared" si="5"/>
        <v>3.581784069588867E-3</v>
      </c>
      <c r="V211" s="30">
        <f t="shared" si="5"/>
        <v>4.9286199864038149E-3</v>
      </c>
      <c r="W211" s="30">
        <f t="shared" si="5"/>
        <v>7.2721122949432893E-3</v>
      </c>
      <c r="X211" s="30">
        <f t="shared" si="5"/>
        <v>3.1396910678307632E-2</v>
      </c>
      <c r="Y211" s="30">
        <f t="shared" si="5"/>
        <v>3.7766563568289113E-2</v>
      </c>
      <c r="Z211" s="30">
        <f t="shared" si="5"/>
        <v>1.0039215686274527E-2</v>
      </c>
      <c r="AA211" s="30">
        <f t="shared" si="5"/>
        <v>4.037894082932203E-3</v>
      </c>
      <c r="AB211" s="30">
        <f t="shared" si="5"/>
        <v>6.1871616395969831E-4</v>
      </c>
      <c r="AC211" s="30">
        <f t="shared" si="5"/>
        <v>-2.0095841706600726E-2</v>
      </c>
      <c r="AD211" s="30">
        <f t="shared" si="5"/>
        <v>-1.940369143398013E-2</v>
      </c>
      <c r="AE211" s="30">
        <f t="shared" si="5"/>
        <v>-2.6061776061776065E-2</v>
      </c>
      <c r="AF211" s="30">
        <f t="shared" si="5"/>
        <v>-2.1308225966303218E-2</v>
      </c>
      <c r="AG211" s="30">
        <f t="shared" si="5"/>
        <v>1.6877637130801038E-3</v>
      </c>
      <c r="AH211" s="30">
        <f t="shared" si="5"/>
        <v>1.1794439764111209E-2</v>
      </c>
      <c r="AI211" s="30">
        <f t="shared" si="5"/>
        <v>9.8251457119067354E-3</v>
      </c>
      <c r="AJ211" s="30">
        <f t="shared" si="5"/>
        <v>8.7401055408971029E-3</v>
      </c>
      <c r="AK211" s="30">
        <f t="shared" si="5"/>
        <v>8.6643779630537487E-3</v>
      </c>
      <c r="AL211" s="30">
        <f t="shared" si="5"/>
        <v>7.6175040518637882E-3</v>
      </c>
      <c r="AM211" s="30">
        <f t="shared" si="5"/>
        <v>6.9165192214895033E-3</v>
      </c>
      <c r="AN211" s="30">
        <f t="shared" si="5"/>
        <v>5.7507987220446477E-3</v>
      </c>
      <c r="AO211" s="30">
        <f t="shared" si="5"/>
        <v>4.7649301143584122E-3</v>
      </c>
      <c r="AP211" s="30">
        <f t="shared" si="5"/>
        <v>3.6357888080935652E-3</v>
      </c>
      <c r="AQ211" s="30">
        <f t="shared" si="5"/>
        <v>2.677587021578276E-3</v>
      </c>
      <c r="AR211" s="30">
        <f t="shared" si="5"/>
        <v>1.7279296261387689E-3</v>
      </c>
      <c r="AS211" s="30">
        <f t="shared" si="5"/>
        <v>6.2725419476250543E-4</v>
      </c>
      <c r="AT211" s="30">
        <f t="shared" si="5"/>
        <v>-3.1343049678733692E-4</v>
      </c>
      <c r="AU211" s="30">
        <f t="shared" si="5"/>
        <v>-1.2541150650572375E-3</v>
      </c>
      <c r="AV211" s="30">
        <f t="shared" si="5"/>
        <v>-1.883534766912609E-3</v>
      </c>
      <c r="AW211" s="30">
        <f t="shared" si="5"/>
        <v>-2.3588614562037868E-3</v>
      </c>
      <c r="AX211" s="30">
        <f t="shared" si="5"/>
        <v>-2.6796973518284917E-3</v>
      </c>
      <c r="AY211" s="30">
        <f t="shared" si="5"/>
        <v>-2.3707918444760834E-3</v>
      </c>
      <c r="AZ211" s="30">
        <f t="shared" si="5"/>
        <v>-1.9011406844106071E-3</v>
      </c>
      <c r="BA211" s="30">
        <f t="shared" si="5"/>
        <v>-1.2698412698413097E-3</v>
      </c>
      <c r="BB211" s="30">
        <f t="shared" si="5"/>
        <v>-4.7679593134142273E-4</v>
      </c>
      <c r="BC211" s="30">
        <f t="shared" si="5"/>
        <v>1.5900779138178223E-4</v>
      </c>
      <c r="BD211" s="30">
        <f t="shared" si="5"/>
        <v>7.9491255961849916E-4</v>
      </c>
      <c r="BE211" s="30">
        <f t="shared" si="5"/>
        <v>1.111993645750653E-3</v>
      </c>
      <c r="BF211" s="30">
        <f t="shared" si="5"/>
        <v>1.4281180577593311E-3</v>
      </c>
      <c r="BG211" s="30">
        <f t="shared" si="5"/>
        <v>1.2676279511962818E-3</v>
      </c>
      <c r="BH211" s="30">
        <f t="shared" si="5"/>
        <v>1.1077702168065251E-3</v>
      </c>
      <c r="BI211" s="30">
        <f t="shared" si="5"/>
        <v>1.1065444198545826E-3</v>
      </c>
      <c r="BJ211" s="30">
        <f t="shared" si="5"/>
        <v>7.8951523764403397E-4</v>
      </c>
      <c r="BK211" s="30">
        <f t="shared" si="5"/>
        <v>6.3111391606174294E-4</v>
      </c>
      <c r="BL211" s="30">
        <f t="shared" si="5"/>
        <v>3.1535793125203604E-4</v>
      </c>
      <c r="BM211" s="30">
        <f t="shared" si="5"/>
        <v>4.7288776796983178E-4</v>
      </c>
      <c r="BN211" s="30">
        <f t="shared" si="5"/>
        <v>4.7266425082725938E-4</v>
      </c>
      <c r="BO211" s="30">
        <f t="shared" si="5"/>
        <v>7.8740157480305939E-4</v>
      </c>
    </row>
    <row r="212" spans="1:67" x14ac:dyDescent="0.2">
      <c r="C212" s="3" t="s">
        <v>155</v>
      </c>
      <c r="F212" s="30">
        <f>SUM(F$30:F$34)/SUM(E$30:E$34)-1</f>
        <v>-5.5727554179566541E-3</v>
      </c>
      <c r="G212" s="30">
        <f t="shared" ref="G212:BO212" si="6">SUM(G$30:G$34)/SUM(F$30:F$34)-1</f>
        <v>-1.2453300124533051E-3</v>
      </c>
      <c r="H212" s="30">
        <f t="shared" si="6"/>
        <v>9.490163480188496E-3</v>
      </c>
      <c r="I212" s="30">
        <f t="shared" si="6"/>
        <v>2.4634598229602789E-2</v>
      </c>
      <c r="J212" s="30">
        <f t="shared" si="6"/>
        <v>2.2836860433967265E-2</v>
      </c>
      <c r="K212" s="30">
        <f t="shared" si="6"/>
        <v>1.0279578340862905E-2</v>
      </c>
      <c r="L212" s="30">
        <f t="shared" si="6"/>
        <v>9.3324692158134326E-3</v>
      </c>
      <c r="M212" s="30">
        <f t="shared" si="6"/>
        <v>2.298702966482602E-2</v>
      </c>
      <c r="N212" s="30">
        <f t="shared" si="6"/>
        <v>1.9897062515691788E-2</v>
      </c>
      <c r="O212" s="30">
        <f t="shared" si="6"/>
        <v>-1.9078097113668369E-3</v>
      </c>
      <c r="P212" s="30">
        <f t="shared" si="6"/>
        <v>-6.9059070168948633E-3</v>
      </c>
      <c r="Q212" s="30">
        <f t="shared" si="6"/>
        <v>-9.6237427045821056E-3</v>
      </c>
      <c r="R212" s="30">
        <f t="shared" si="6"/>
        <v>-1.1723402921446913E-2</v>
      </c>
      <c r="S212" s="30">
        <f t="shared" si="6"/>
        <v>-6.3435676224308235E-3</v>
      </c>
      <c r="T212" s="30">
        <f t="shared" si="6"/>
        <v>-5.4264555669050196E-3</v>
      </c>
      <c r="U212" s="30">
        <f t="shared" si="6"/>
        <v>-1.3543873162590647E-2</v>
      </c>
      <c r="V212" s="30">
        <f t="shared" si="6"/>
        <v>-1.2753774076002089E-2</v>
      </c>
      <c r="W212" s="30">
        <f t="shared" si="6"/>
        <v>-3.2955444239388676E-3</v>
      </c>
      <c r="X212" s="30">
        <f t="shared" si="6"/>
        <v>-1.0712868668165565E-2</v>
      </c>
      <c r="Y212" s="30">
        <f t="shared" si="6"/>
        <v>-3.4090909090909172E-3</v>
      </c>
      <c r="Z212" s="30">
        <f t="shared" si="6"/>
        <v>1.2274465088201847E-2</v>
      </c>
      <c r="AA212" s="30">
        <f t="shared" si="6"/>
        <v>2.1799628942485993E-2</v>
      </c>
      <c r="AB212" s="30">
        <f t="shared" si="6"/>
        <v>1.4720186758316656E-2</v>
      </c>
      <c r="AC212" s="30">
        <f t="shared" si="6"/>
        <v>2.0769427402862917E-2</v>
      </c>
      <c r="AD212" s="30">
        <f t="shared" si="6"/>
        <v>1.1769861641520052E-2</v>
      </c>
      <c r="AE212" s="30">
        <f t="shared" si="6"/>
        <v>4.9501887259451038E-4</v>
      </c>
      <c r="AF212" s="30">
        <f t="shared" si="6"/>
        <v>-1.0266559465644143E-2</v>
      </c>
      <c r="AG212" s="30">
        <f t="shared" si="6"/>
        <v>-1.3684934074860933E-2</v>
      </c>
      <c r="AH212" s="30">
        <f t="shared" si="6"/>
        <v>-2.0273694880892035E-2</v>
      </c>
      <c r="AI212" s="30">
        <f t="shared" si="6"/>
        <v>-1.3773926539058512E-2</v>
      </c>
      <c r="AJ212" s="30">
        <f t="shared" si="6"/>
        <v>-7.8683365025243868E-3</v>
      </c>
      <c r="AK212" s="30">
        <f t="shared" si="6"/>
        <v>-2.0487740400502163E-3</v>
      </c>
      <c r="AL212" s="30">
        <f t="shared" si="6"/>
        <v>6.2913907284767312E-3</v>
      </c>
      <c r="AM212" s="30">
        <f t="shared" si="6"/>
        <v>9.8716683119446369E-3</v>
      </c>
      <c r="AN212" s="30">
        <f t="shared" si="6"/>
        <v>8.6021505376343566E-3</v>
      </c>
      <c r="AO212" s="30">
        <f t="shared" si="6"/>
        <v>7.8826645990826005E-3</v>
      </c>
      <c r="AP212" s="30">
        <f t="shared" si="6"/>
        <v>7.0517340855182908E-3</v>
      </c>
      <c r="AQ212" s="30">
        <f t="shared" si="6"/>
        <v>6.3021198039341364E-3</v>
      </c>
      <c r="AR212" s="30">
        <f t="shared" si="6"/>
        <v>5.1872469635627638E-3</v>
      </c>
      <c r="AS212" s="30">
        <f t="shared" si="6"/>
        <v>4.2164883574575818E-3</v>
      </c>
      <c r="AT212" s="30">
        <f t="shared" si="6"/>
        <v>3.1334210691231767E-3</v>
      </c>
      <c r="AU212" s="30">
        <f t="shared" si="6"/>
        <v>2.1240707190604002E-3</v>
      </c>
      <c r="AV212" s="30">
        <f t="shared" si="6"/>
        <v>1.2468050620284554E-3</v>
      </c>
      <c r="AW212" s="30">
        <f t="shared" si="6"/>
        <v>1.8678787124093432E-4</v>
      </c>
      <c r="AX212" s="30">
        <f t="shared" si="6"/>
        <v>-6.2250996015933424E-4</v>
      </c>
      <c r="AY212" s="30">
        <f t="shared" si="6"/>
        <v>-1.3703749844276025E-3</v>
      </c>
      <c r="AZ212" s="30">
        <f t="shared" si="6"/>
        <v>-1.9336327345309545E-3</v>
      </c>
      <c r="BA212" s="30">
        <f t="shared" si="6"/>
        <v>-2.1873632897944084E-3</v>
      </c>
      <c r="BB212" s="30">
        <f t="shared" si="6"/>
        <v>-2.1921583364650221E-3</v>
      </c>
      <c r="BC212" s="30">
        <f t="shared" si="6"/>
        <v>-2.0086623564120609E-3</v>
      </c>
      <c r="BD212" s="30">
        <f t="shared" si="6"/>
        <v>-1.4466318636392472E-3</v>
      </c>
      <c r="BE212" s="30">
        <f t="shared" si="6"/>
        <v>-8.1884605694126922E-4</v>
      </c>
      <c r="BF212" s="30">
        <f t="shared" si="6"/>
        <v>-2.5215911239995226E-4</v>
      </c>
      <c r="BG212" s="30">
        <f t="shared" si="6"/>
        <v>3.7833406898291067E-4</v>
      </c>
      <c r="BH212" s="30">
        <f t="shared" si="6"/>
        <v>7.5638197289640274E-4</v>
      </c>
      <c r="BI212" s="30">
        <f t="shared" si="6"/>
        <v>1.0707312464570684E-3</v>
      </c>
      <c r="BJ212" s="30">
        <f t="shared" si="6"/>
        <v>1.2583364791745044E-3</v>
      </c>
      <c r="BK212" s="30">
        <f t="shared" si="6"/>
        <v>1.2567550584390297E-3</v>
      </c>
      <c r="BL212" s="30">
        <f t="shared" si="6"/>
        <v>1.0041420861051087E-3</v>
      </c>
      <c r="BM212" s="30">
        <f t="shared" si="6"/>
        <v>9.4043887147332583E-4</v>
      </c>
      <c r="BN212" s="30">
        <f t="shared" si="6"/>
        <v>8.1428124021298842E-4</v>
      </c>
      <c r="BO212" s="30">
        <f t="shared" si="6"/>
        <v>5.0068844661410594E-4</v>
      </c>
    </row>
    <row r="213" spans="1:67" x14ac:dyDescent="0.2">
      <c r="C213" s="3" t="s">
        <v>156</v>
      </c>
      <c r="F213" s="30">
        <f>SUM(F$35:F$39)/SUM(E$35:E$39)-1</f>
        <v>1.4071856287425133E-2</v>
      </c>
      <c r="G213" s="30">
        <f t="shared" ref="G213:BO213" si="7">SUM(G$35:G$39)/SUM(F$35:F$39)-1</f>
        <v>1.4393268379096602E-2</v>
      </c>
      <c r="H213" s="30">
        <f t="shared" si="7"/>
        <v>1.1423997671541786E-2</v>
      </c>
      <c r="I213" s="30">
        <f t="shared" si="7"/>
        <v>1.1151079136690667E-2</v>
      </c>
      <c r="J213" s="30">
        <f t="shared" si="7"/>
        <v>1.7787264318747109E-3</v>
      </c>
      <c r="K213" s="30">
        <f t="shared" si="7"/>
        <v>-1.7045454545454586E-3</v>
      </c>
      <c r="L213" s="30">
        <f t="shared" si="7"/>
        <v>1.1311895276038708E-2</v>
      </c>
      <c r="M213" s="30">
        <f t="shared" si="7"/>
        <v>4.0239183960604885E-2</v>
      </c>
      <c r="N213" s="30">
        <f t="shared" si="7"/>
        <v>5.139649692297299E-2</v>
      </c>
      <c r="O213" s="30">
        <f t="shared" si="7"/>
        <v>4.6182543255933517E-2</v>
      </c>
      <c r="P213" s="30">
        <f t="shared" si="7"/>
        <v>2.4531201967414651E-2</v>
      </c>
      <c r="Q213" s="30">
        <f t="shared" si="7"/>
        <v>1.4462313970235341E-2</v>
      </c>
      <c r="R213" s="30">
        <f t="shared" si="7"/>
        <v>6.5069506063295535E-3</v>
      </c>
      <c r="S213" s="30">
        <f t="shared" si="7"/>
        <v>-2.9385836027034928E-3</v>
      </c>
      <c r="T213" s="30">
        <f t="shared" si="7"/>
        <v>-1.2614205717654037E-2</v>
      </c>
      <c r="U213" s="30">
        <f t="shared" si="7"/>
        <v>-6.626470061488865E-3</v>
      </c>
      <c r="V213" s="30">
        <f t="shared" si="7"/>
        <v>-9.1947115384615197E-3</v>
      </c>
      <c r="W213" s="30">
        <f t="shared" si="7"/>
        <v>-1.1342269667010352E-2</v>
      </c>
      <c r="X213" s="30">
        <f t="shared" si="7"/>
        <v>-6.0736196319018942E-3</v>
      </c>
      <c r="Y213" s="30">
        <f t="shared" si="7"/>
        <v>-5.2465897166841247E-3</v>
      </c>
      <c r="Z213" s="30">
        <f t="shared" si="7"/>
        <v>-1.3092578803673316E-2</v>
      </c>
      <c r="AA213" s="30">
        <f t="shared" si="7"/>
        <v>-1.2323168814838081E-2</v>
      </c>
      <c r="AB213" s="30">
        <f t="shared" si="7"/>
        <v>-3.0555732382711032E-3</v>
      </c>
      <c r="AC213" s="30">
        <f t="shared" si="7"/>
        <v>-1.0344167039141872E-2</v>
      </c>
      <c r="AD213" s="30">
        <f t="shared" si="7"/>
        <v>-3.2905348732176209E-3</v>
      </c>
      <c r="AE213" s="30">
        <f t="shared" si="7"/>
        <v>1.1975660279647915E-2</v>
      </c>
      <c r="AF213" s="30">
        <f t="shared" si="7"/>
        <v>2.1045224844879362E-2</v>
      </c>
      <c r="AG213" s="30">
        <f t="shared" si="7"/>
        <v>1.4221275529382238E-2</v>
      </c>
      <c r="AH213" s="30">
        <f t="shared" si="7"/>
        <v>1.9951819136450721E-2</v>
      </c>
      <c r="AI213" s="30">
        <f t="shared" si="7"/>
        <v>1.144622093023262E-2</v>
      </c>
      <c r="AJ213" s="30">
        <f t="shared" si="7"/>
        <v>4.7901323274057717E-4</v>
      </c>
      <c r="AK213" s="30">
        <f t="shared" si="7"/>
        <v>-9.8749177090190488E-3</v>
      </c>
      <c r="AL213" s="30">
        <f t="shared" si="7"/>
        <v>-1.3176982591876163E-2</v>
      </c>
      <c r="AM213" s="30">
        <f t="shared" si="7"/>
        <v>-1.9539385030013512E-2</v>
      </c>
      <c r="AN213" s="30">
        <f t="shared" si="7"/>
        <v>-1.3306678328231403E-2</v>
      </c>
      <c r="AO213" s="30">
        <f t="shared" si="7"/>
        <v>-7.5345067747245587E-3</v>
      </c>
      <c r="AP213" s="30">
        <f t="shared" si="7"/>
        <v>-1.9776714513556337E-3</v>
      </c>
      <c r="AQ213" s="30">
        <f t="shared" si="7"/>
        <v>6.0726156993096136E-3</v>
      </c>
      <c r="AR213" s="30">
        <f t="shared" si="7"/>
        <v>9.4669292839444363E-3</v>
      </c>
      <c r="AS213" s="30">
        <f t="shared" si="7"/>
        <v>8.3710976837865214E-3</v>
      </c>
      <c r="AT213" s="30">
        <f t="shared" si="7"/>
        <v>7.6774233818113213E-3</v>
      </c>
      <c r="AU213" s="30">
        <f t="shared" si="7"/>
        <v>6.7517343904857086E-3</v>
      </c>
      <c r="AV213" s="30">
        <f t="shared" si="7"/>
        <v>6.0911831661847327E-3</v>
      </c>
      <c r="AW213" s="30">
        <f t="shared" si="7"/>
        <v>5.1369863013699391E-3</v>
      </c>
      <c r="AX213" s="30">
        <f t="shared" si="7"/>
        <v>4.0155755658310976E-3</v>
      </c>
      <c r="AY213" s="30">
        <f t="shared" si="7"/>
        <v>3.0905344806690938E-3</v>
      </c>
      <c r="AZ213" s="30">
        <f t="shared" si="7"/>
        <v>2.1144203467649003E-3</v>
      </c>
      <c r="BA213" s="30">
        <f t="shared" si="7"/>
        <v>1.145406317820008E-3</v>
      </c>
      <c r="BB213" s="30">
        <f t="shared" si="7"/>
        <v>2.4086228698738665E-4</v>
      </c>
      <c r="BC213" s="30">
        <f t="shared" si="7"/>
        <v>-7.224128589489176E-4</v>
      </c>
      <c r="BD213" s="30">
        <f t="shared" si="7"/>
        <v>-1.2651364540032795E-3</v>
      </c>
      <c r="BE213" s="30">
        <f t="shared" si="7"/>
        <v>-1.8096272167933414E-3</v>
      </c>
      <c r="BF213" s="30">
        <f t="shared" si="7"/>
        <v>-2.115059221658222E-3</v>
      </c>
      <c r="BG213" s="30">
        <f t="shared" si="7"/>
        <v>-2.1195421788893221E-3</v>
      </c>
      <c r="BH213" s="30">
        <f t="shared" si="7"/>
        <v>-1.8812962738196104E-3</v>
      </c>
      <c r="BI213" s="30">
        <f t="shared" si="7"/>
        <v>-1.4592326868121397E-3</v>
      </c>
      <c r="BJ213" s="30">
        <f t="shared" si="7"/>
        <v>-7.3068257930952729E-4</v>
      </c>
      <c r="BK213" s="30">
        <f t="shared" si="7"/>
        <v>-2.4373895557860958E-4</v>
      </c>
      <c r="BL213" s="30">
        <f t="shared" si="7"/>
        <v>4.2664716279627868E-4</v>
      </c>
      <c r="BM213" s="30">
        <f t="shared" si="7"/>
        <v>7.310832216400609E-4</v>
      </c>
      <c r="BN213" s="30">
        <f t="shared" si="7"/>
        <v>1.0349446000244011E-3</v>
      </c>
      <c r="BO213" s="30">
        <f t="shared" si="7"/>
        <v>1.2771392081736277E-3</v>
      </c>
    </row>
    <row r="214" spans="1:67" x14ac:dyDescent="0.2">
      <c r="C214" s="3" t="s">
        <v>157</v>
      </c>
      <c r="F214" s="30">
        <f>SUM(F$40:F$44)/SUM(E$40:E$44)-1</f>
        <v>-2.692230609927182E-2</v>
      </c>
      <c r="G214" s="30">
        <f t="shared" ref="G214:BO214" si="8">SUM(G$40:G$44)/SUM(F$40:F$44)-1</f>
        <v>-2.4783742963064626E-2</v>
      </c>
      <c r="H214" s="30">
        <f t="shared" si="8"/>
        <v>-1.1263639563533934E-2</v>
      </c>
      <c r="I214" s="30">
        <f t="shared" si="8"/>
        <v>-3.9159843360626612E-3</v>
      </c>
      <c r="J214" s="30">
        <f t="shared" si="8"/>
        <v>7.1479628305937126E-4</v>
      </c>
      <c r="K214" s="30">
        <f t="shared" si="8"/>
        <v>2.0000000000000018E-3</v>
      </c>
      <c r="L214" s="30">
        <f t="shared" si="8"/>
        <v>9.2671799258625676E-3</v>
      </c>
      <c r="M214" s="30">
        <f t="shared" si="8"/>
        <v>1.822291284079669E-2</v>
      </c>
      <c r="N214" s="30">
        <f t="shared" si="8"/>
        <v>2.6082130965593864E-2</v>
      </c>
      <c r="O214" s="30">
        <f t="shared" si="8"/>
        <v>2.1836127636560398E-2</v>
      </c>
      <c r="P214" s="30">
        <f t="shared" si="8"/>
        <v>1.7598412173337685E-2</v>
      </c>
      <c r="Q214" s="30">
        <f t="shared" si="8"/>
        <v>2.3405500292568826E-2</v>
      </c>
      <c r="R214" s="30">
        <f t="shared" si="8"/>
        <v>2.5601931262308586E-2</v>
      </c>
      <c r="S214" s="30">
        <f t="shared" si="8"/>
        <v>3.1342913776015946E-2</v>
      </c>
      <c r="T214" s="30">
        <f t="shared" si="8"/>
        <v>3.4954954954955042E-2</v>
      </c>
      <c r="U214" s="30">
        <f t="shared" si="8"/>
        <v>2.3212627669452202E-2</v>
      </c>
      <c r="V214" s="30">
        <f t="shared" si="8"/>
        <v>1.3611615245008979E-2</v>
      </c>
      <c r="W214" s="30">
        <f t="shared" si="8"/>
        <v>6.2108325872873849E-3</v>
      </c>
      <c r="X214" s="30">
        <f t="shared" si="8"/>
        <v>-2.8916198632041867E-3</v>
      </c>
      <c r="Y214" s="30">
        <f t="shared" si="8"/>
        <v>-1.1655791645753144E-2</v>
      </c>
      <c r="Z214" s="30">
        <f t="shared" si="8"/>
        <v>-6.3198284617989042E-3</v>
      </c>
      <c r="AA214" s="30">
        <f t="shared" si="8"/>
        <v>-8.6882453151618799E-3</v>
      </c>
      <c r="AB214" s="30">
        <f t="shared" si="8"/>
        <v>-1.0654751675545637E-2</v>
      </c>
      <c r="AC214" s="30">
        <f t="shared" si="8"/>
        <v>-5.7321521625847138E-3</v>
      </c>
      <c r="AD214" s="30">
        <f t="shared" si="8"/>
        <v>-4.9499184719310474E-3</v>
      </c>
      <c r="AE214" s="30">
        <f t="shared" si="8"/>
        <v>-1.2172997015274745E-2</v>
      </c>
      <c r="AF214" s="30">
        <f t="shared" si="8"/>
        <v>-1.1552817110018321E-2</v>
      </c>
      <c r="AG214" s="30">
        <f t="shared" si="8"/>
        <v>-2.8770079117718117E-3</v>
      </c>
      <c r="AH214" s="30">
        <f t="shared" si="8"/>
        <v>-9.6778071651839603E-3</v>
      </c>
      <c r="AI214" s="30">
        <f t="shared" si="8"/>
        <v>-3.0955993930197323E-3</v>
      </c>
      <c r="AJ214" s="30">
        <f t="shared" si="8"/>
        <v>1.1203117389186446E-2</v>
      </c>
      <c r="AK214" s="30">
        <f t="shared" si="8"/>
        <v>1.9749518304431612E-2</v>
      </c>
      <c r="AL214" s="30">
        <f t="shared" si="8"/>
        <v>1.34624468587623E-2</v>
      </c>
      <c r="AM214" s="30">
        <f t="shared" si="8"/>
        <v>1.8934980191097628E-2</v>
      </c>
      <c r="AN214" s="30">
        <f t="shared" si="8"/>
        <v>1.0692435245011067E-2</v>
      </c>
      <c r="AO214" s="30">
        <f t="shared" si="8"/>
        <v>5.0916496945019318E-4</v>
      </c>
      <c r="AP214" s="30">
        <f t="shared" si="8"/>
        <v>-9.3299406276505792E-3</v>
      </c>
      <c r="AQ214" s="30">
        <f t="shared" si="8"/>
        <v>-1.2385844748858399E-2</v>
      </c>
      <c r="AR214" s="30">
        <f t="shared" si="8"/>
        <v>-1.8436109345200236E-2</v>
      </c>
      <c r="AS214" s="30">
        <f t="shared" si="8"/>
        <v>-1.2423457371643853E-2</v>
      </c>
      <c r="AT214" s="30">
        <f t="shared" si="8"/>
        <v>-7.2139748405174453E-3</v>
      </c>
      <c r="AU214" s="30">
        <f t="shared" si="8"/>
        <v>-1.8015853951477423E-3</v>
      </c>
      <c r="AV214" s="30">
        <f t="shared" si="8"/>
        <v>5.7754782817951433E-3</v>
      </c>
      <c r="AW214" s="30">
        <f t="shared" si="8"/>
        <v>8.9125493480082252E-3</v>
      </c>
      <c r="AX214" s="30">
        <f t="shared" si="8"/>
        <v>7.9445070255528272E-3</v>
      </c>
      <c r="AY214" s="30">
        <f t="shared" si="8"/>
        <v>7.1760484677372283E-3</v>
      </c>
      <c r="AZ214" s="30">
        <f t="shared" si="8"/>
        <v>6.5409098872861726E-3</v>
      </c>
      <c r="BA214" s="30">
        <f t="shared" si="8"/>
        <v>5.6861038584277157E-3</v>
      </c>
      <c r="BB214" s="30">
        <f t="shared" si="8"/>
        <v>4.7885536260312556E-3</v>
      </c>
      <c r="BC214" s="30">
        <f t="shared" si="8"/>
        <v>3.8470372071657266E-3</v>
      </c>
      <c r="BD214" s="30">
        <f t="shared" si="8"/>
        <v>2.9171194875021733E-3</v>
      </c>
      <c r="BE214" s="30">
        <f t="shared" si="8"/>
        <v>1.9961218204631592E-3</v>
      </c>
      <c r="BF214" s="30">
        <f t="shared" si="8"/>
        <v>1.0814502817462213E-3</v>
      </c>
      <c r="BG214" s="30">
        <f t="shared" si="8"/>
        <v>2.2742779167606031E-4</v>
      </c>
      <c r="BH214" s="30">
        <f t="shared" si="8"/>
        <v>-5.684402000909472E-4</v>
      </c>
      <c r="BI214" s="30">
        <f t="shared" si="8"/>
        <v>-1.2512797178932944E-3</v>
      </c>
      <c r="BJ214" s="30">
        <f t="shared" si="8"/>
        <v>-1.7653758542141018E-3</v>
      </c>
      <c r="BK214" s="30">
        <f t="shared" si="8"/>
        <v>-1.996691197444278E-3</v>
      </c>
      <c r="BL214" s="30">
        <f t="shared" si="8"/>
        <v>-2.0006859494683393E-3</v>
      </c>
      <c r="BM214" s="30">
        <f t="shared" si="8"/>
        <v>-1.7183114725929372E-3</v>
      </c>
      <c r="BN214" s="30">
        <f t="shared" si="8"/>
        <v>-1.319639680991469E-3</v>
      </c>
      <c r="BO214" s="30">
        <f t="shared" si="8"/>
        <v>-6.3196598873949128E-4</v>
      </c>
    </row>
    <row r="215" spans="1:67" x14ac:dyDescent="0.2">
      <c r="C215" s="3" t="s">
        <v>158</v>
      </c>
      <c r="F215" s="30">
        <f>SUM(F$45:F$49)/SUM(E$45:E$49)-1</f>
        <v>1.0341451474727759E-2</v>
      </c>
      <c r="G215" s="30">
        <f t="shared" ref="G215:BO215" si="9">SUM(G$45:G$49)/SUM(F$45:F$49)-1</f>
        <v>-1.7564048210284566E-3</v>
      </c>
      <c r="H215" s="30">
        <f t="shared" si="9"/>
        <v>-1.0314282247300133E-2</v>
      </c>
      <c r="I215" s="30">
        <f t="shared" si="9"/>
        <v>-1.6552231486022584E-2</v>
      </c>
      <c r="J215" s="30">
        <f t="shared" si="9"/>
        <v>-3.5594065577858158E-2</v>
      </c>
      <c r="K215" s="30">
        <f t="shared" si="9"/>
        <v>-3.5938206967875419E-2</v>
      </c>
      <c r="L215" s="30">
        <f t="shared" si="9"/>
        <v>-2.8830036875628573E-2</v>
      </c>
      <c r="M215" s="30">
        <f t="shared" si="9"/>
        <v>-1.2564722126337635E-2</v>
      </c>
      <c r="N215" s="30">
        <f t="shared" si="9"/>
        <v>1.887715863804873E-3</v>
      </c>
      <c r="O215" s="30">
        <f t="shared" si="9"/>
        <v>8.3042568039077835E-3</v>
      </c>
      <c r="P215" s="30">
        <f t="shared" si="9"/>
        <v>8.9279534915911452E-3</v>
      </c>
      <c r="Q215" s="30">
        <f t="shared" si="9"/>
        <v>1.5228426395939021E-2</v>
      </c>
      <c r="R215" s="30">
        <f t="shared" si="9"/>
        <v>1.1148648648648729E-2</v>
      </c>
      <c r="S215" s="30">
        <f t="shared" si="9"/>
        <v>1.496825927163381E-2</v>
      </c>
      <c r="T215" s="30">
        <f t="shared" si="9"/>
        <v>1.613009414708011E-2</v>
      </c>
      <c r="U215" s="30">
        <f t="shared" si="9"/>
        <v>1.7299468705455512E-2</v>
      </c>
      <c r="V215" s="30">
        <f t="shared" si="9"/>
        <v>2.2928475893255307E-2</v>
      </c>
      <c r="W215" s="30">
        <f t="shared" si="9"/>
        <v>2.4967312122532892E-2</v>
      </c>
      <c r="X215" s="30">
        <f t="shared" si="9"/>
        <v>3.073745595917865E-2</v>
      </c>
      <c r="Y215" s="30">
        <f t="shared" si="9"/>
        <v>3.4358793022159384E-2</v>
      </c>
      <c r="Z215" s="30">
        <f t="shared" si="9"/>
        <v>2.267677055438444E-2</v>
      </c>
      <c r="AA215" s="30">
        <f t="shared" si="9"/>
        <v>1.3426931862499325E-2</v>
      </c>
      <c r="AB215" s="30">
        <f t="shared" si="9"/>
        <v>6.0472787245740012E-3</v>
      </c>
      <c r="AC215" s="30">
        <f t="shared" si="9"/>
        <v>-2.6229508196721207E-3</v>
      </c>
      <c r="AD215" s="30">
        <f t="shared" si="9"/>
        <v>-1.1615165461319354E-2</v>
      </c>
      <c r="AE215" s="30">
        <f t="shared" si="9"/>
        <v>-5.9866962305986648E-3</v>
      </c>
      <c r="AF215" s="30">
        <f t="shared" si="9"/>
        <v>-8.5322328797680091E-3</v>
      </c>
      <c r="AG215" s="30">
        <f t="shared" si="9"/>
        <v>-1.0461780752573313E-2</v>
      </c>
      <c r="AH215" s="30">
        <f t="shared" si="9"/>
        <v>-5.5135565281646537E-3</v>
      </c>
      <c r="AI215" s="30">
        <f t="shared" si="9"/>
        <v>-4.8582533150434148E-3</v>
      </c>
      <c r="AJ215" s="30">
        <f t="shared" si="9"/>
        <v>-1.1889035667106973E-2</v>
      </c>
      <c r="AK215" s="30">
        <f t="shared" si="9"/>
        <v>-1.1334573355033739E-2</v>
      </c>
      <c r="AL215" s="30">
        <f t="shared" si="9"/>
        <v>-2.8220353930271669E-3</v>
      </c>
      <c r="AM215" s="30">
        <f t="shared" si="9"/>
        <v>-9.4334060491716443E-3</v>
      </c>
      <c r="AN215" s="30">
        <f t="shared" si="9"/>
        <v>-2.9164930658889254E-3</v>
      </c>
      <c r="AO215" s="30">
        <f t="shared" si="9"/>
        <v>1.1043457497612152E-2</v>
      </c>
      <c r="AP215" s="30">
        <f t="shared" si="9"/>
        <v>1.9306843006435592E-2</v>
      </c>
      <c r="AQ215" s="30">
        <f t="shared" si="9"/>
        <v>1.3206672845227141E-2</v>
      </c>
      <c r="AR215" s="30">
        <f t="shared" si="9"/>
        <v>1.8579922250171466E-2</v>
      </c>
      <c r="AS215" s="30">
        <f t="shared" si="9"/>
        <v>1.0551720267160558E-2</v>
      </c>
      <c r="AT215" s="30">
        <f t="shared" si="9"/>
        <v>4.9986114968070261E-4</v>
      </c>
      <c r="AU215" s="30">
        <f t="shared" si="9"/>
        <v>-9.104030198734292E-3</v>
      </c>
      <c r="AV215" s="30">
        <f t="shared" si="9"/>
        <v>-1.2268907563025233E-2</v>
      </c>
      <c r="AW215" s="30">
        <f t="shared" si="9"/>
        <v>-1.7922976575350247E-2</v>
      </c>
      <c r="AX215" s="30">
        <f t="shared" si="9"/>
        <v>-1.2185965925498143E-2</v>
      </c>
      <c r="AY215" s="30">
        <f t="shared" si="9"/>
        <v>-7.0159027128157136E-3</v>
      </c>
      <c r="AZ215" s="30">
        <f t="shared" si="9"/>
        <v>-1.7663683466792035E-3</v>
      </c>
      <c r="BA215" s="30">
        <f t="shared" si="9"/>
        <v>5.6623805591600185E-3</v>
      </c>
      <c r="BB215" s="30">
        <f t="shared" si="9"/>
        <v>8.8563049853371822E-3</v>
      </c>
      <c r="BC215" s="30">
        <f t="shared" si="9"/>
        <v>7.7902447532121055E-3</v>
      </c>
      <c r="BD215" s="30">
        <f t="shared" si="9"/>
        <v>6.9800980674934454E-3</v>
      </c>
      <c r="BE215" s="30">
        <f t="shared" si="9"/>
        <v>6.4161319890008173E-3</v>
      </c>
      <c r="BF215" s="30">
        <f t="shared" si="9"/>
        <v>5.6921675774135316E-3</v>
      </c>
      <c r="BG215" s="30">
        <f t="shared" si="9"/>
        <v>4.697758659723883E-3</v>
      </c>
      <c r="BH215" s="30">
        <f t="shared" si="9"/>
        <v>3.7744352430848505E-3</v>
      </c>
      <c r="BI215" s="30">
        <f t="shared" si="9"/>
        <v>2.9183971265012154E-3</v>
      </c>
      <c r="BJ215" s="30">
        <f t="shared" si="9"/>
        <v>1.9585898153329229E-3</v>
      </c>
      <c r="BK215" s="30">
        <f t="shared" si="9"/>
        <v>1.0611561016475868E-3</v>
      </c>
      <c r="BL215" s="30">
        <f t="shared" si="9"/>
        <v>2.2316447221593094E-4</v>
      </c>
      <c r="BM215" s="30">
        <f t="shared" si="9"/>
        <v>-5.020080321285203E-4</v>
      </c>
      <c r="BN215" s="30">
        <f t="shared" si="9"/>
        <v>-1.1719403984596921E-3</v>
      </c>
      <c r="BO215" s="30">
        <f t="shared" si="9"/>
        <v>-1.7320370991171785E-3</v>
      </c>
    </row>
    <row r="216" spans="1:67" x14ac:dyDescent="0.2">
      <c r="C216" s="3" t="s">
        <v>159</v>
      </c>
      <c r="F216" s="30">
        <f>SUM(F$50:F$54)/SUM(E$50:E$54)-1</f>
        <v>-8.6465713942596167E-3</v>
      </c>
      <c r="G216" s="30">
        <f t="shared" ref="G216:BO216" si="10">SUM(G$50:G$54)/SUM(F$50:F$54)-1</f>
        <v>-1.0963052695336151E-2</v>
      </c>
      <c r="H216" s="30">
        <f t="shared" si="10"/>
        <v>-1.2860554841079841E-3</v>
      </c>
      <c r="I216" s="30">
        <f t="shared" si="10"/>
        <v>5.4574441991661615E-3</v>
      </c>
      <c r="J216" s="30">
        <f t="shared" si="10"/>
        <v>1.1953406110873921E-2</v>
      </c>
      <c r="K216" s="30">
        <f t="shared" si="10"/>
        <v>4.8815765684324663E-3</v>
      </c>
      <c r="L216" s="30">
        <f t="shared" si="10"/>
        <v>-2.0391027947702645E-3</v>
      </c>
      <c r="M216" s="30">
        <f t="shared" si="10"/>
        <v>-9.5552884615384137E-3</v>
      </c>
      <c r="N216" s="30">
        <f t="shared" si="10"/>
        <v>-1.3348704568897474E-2</v>
      </c>
      <c r="O216" s="30">
        <f t="shared" si="10"/>
        <v>-3.2162843613553926E-2</v>
      </c>
      <c r="P216" s="30">
        <f t="shared" si="10"/>
        <v>-3.2532723344770642E-2</v>
      </c>
      <c r="Q216" s="30">
        <f t="shared" si="10"/>
        <v>-2.7912780769736023E-2</v>
      </c>
      <c r="R216" s="30">
        <f t="shared" si="10"/>
        <v>-1.4931423552462686E-2</v>
      </c>
      <c r="S216" s="30">
        <f t="shared" si="10"/>
        <v>-6.6529492455418282E-3</v>
      </c>
      <c r="T216" s="30">
        <f t="shared" si="10"/>
        <v>3.7975557550231631E-3</v>
      </c>
      <c r="U216" s="30">
        <f t="shared" si="10"/>
        <v>8.9420828174440192E-3</v>
      </c>
      <c r="V216" s="30">
        <f t="shared" si="10"/>
        <v>1.5134987728388394E-2</v>
      </c>
      <c r="W216" s="30">
        <f t="shared" si="10"/>
        <v>1.1014103425117439E-2</v>
      </c>
      <c r="X216" s="30">
        <f t="shared" si="10"/>
        <v>1.5012621230237722E-2</v>
      </c>
      <c r="Y216" s="30">
        <f t="shared" si="10"/>
        <v>1.6099476439790594E-2</v>
      </c>
      <c r="Z216" s="30">
        <f t="shared" si="10"/>
        <v>1.7132551848512145E-2</v>
      </c>
      <c r="AA216" s="30">
        <f t="shared" si="10"/>
        <v>2.2733029381965641E-2</v>
      </c>
      <c r="AB216" s="30">
        <f t="shared" si="10"/>
        <v>2.4952015355086399E-2</v>
      </c>
      <c r="AC216" s="30">
        <f t="shared" si="10"/>
        <v>3.0506222061133181E-2</v>
      </c>
      <c r="AD216" s="30">
        <f t="shared" si="10"/>
        <v>3.3999648279500638E-2</v>
      </c>
      <c r="AE216" s="30">
        <f t="shared" si="10"/>
        <v>2.2620329950677531E-2</v>
      </c>
      <c r="AF216" s="30">
        <f t="shared" si="10"/>
        <v>1.3305244483867495E-2</v>
      </c>
      <c r="AG216" s="30">
        <f t="shared" si="10"/>
        <v>6.0728744939271273E-3</v>
      </c>
      <c r="AH216" s="30">
        <f t="shared" si="10"/>
        <v>-2.5558757953124678E-3</v>
      </c>
      <c r="AI216" s="30">
        <f t="shared" si="10"/>
        <v>-1.1340093773852367E-2</v>
      </c>
      <c r="AJ216" s="30">
        <f t="shared" si="10"/>
        <v>-6.0108084261607519E-3</v>
      </c>
      <c r="AK216" s="30">
        <f t="shared" si="10"/>
        <v>-8.3217753120665705E-3</v>
      </c>
      <c r="AL216" s="30">
        <f t="shared" si="10"/>
        <v>-1.0349650349650297E-2</v>
      </c>
      <c r="AM216" s="30">
        <f t="shared" si="10"/>
        <v>-5.4267947993216215E-3</v>
      </c>
      <c r="AN216" s="30">
        <f t="shared" si="10"/>
        <v>-4.7743548937138058E-3</v>
      </c>
      <c r="AO216" s="30">
        <f t="shared" si="10"/>
        <v>-1.1764705882352899E-2</v>
      </c>
      <c r="AP216" s="30">
        <f t="shared" si="10"/>
        <v>-1.1153490522422538E-2</v>
      </c>
      <c r="AQ216" s="30">
        <f t="shared" si="10"/>
        <v>-2.7467710829290892E-3</v>
      </c>
      <c r="AR216" s="30">
        <f t="shared" si="10"/>
        <v>-9.3178621659634198E-3</v>
      </c>
      <c r="AS216" s="30">
        <f t="shared" si="10"/>
        <v>-2.9577048210588375E-3</v>
      </c>
      <c r="AT216" s="30">
        <f t="shared" si="10"/>
        <v>1.0975971521803629E-2</v>
      </c>
      <c r="AU216" s="30">
        <f t="shared" si="10"/>
        <v>1.9248826291079713E-2</v>
      </c>
      <c r="AV216" s="30">
        <f t="shared" si="10"/>
        <v>1.3127590971902414E-2</v>
      </c>
      <c r="AW216" s="30">
        <f t="shared" si="10"/>
        <v>1.8470106842464196E-2</v>
      </c>
      <c r="AX216" s="30">
        <f t="shared" si="10"/>
        <v>1.0490486021985435E-2</v>
      </c>
      <c r="AY216" s="30">
        <f t="shared" si="10"/>
        <v>5.5221160748808451E-4</v>
      </c>
      <c r="AZ216" s="30">
        <f t="shared" si="10"/>
        <v>-8.9960814614492568E-3</v>
      </c>
      <c r="BA216" s="30">
        <f t="shared" si="10"/>
        <v>-1.2029405212742206E-2</v>
      </c>
      <c r="BB216" s="30">
        <f t="shared" si="10"/>
        <v>-1.7869222096956072E-2</v>
      </c>
      <c r="BC216" s="30">
        <f t="shared" si="10"/>
        <v>-1.199563794983638E-2</v>
      </c>
      <c r="BD216" s="30">
        <f t="shared" si="10"/>
        <v>-6.8548855582665214E-3</v>
      </c>
      <c r="BE216" s="30">
        <f t="shared" si="10"/>
        <v>-1.6963032288254132E-3</v>
      </c>
      <c r="BF216" s="30">
        <f t="shared" si="10"/>
        <v>5.624890138864469E-3</v>
      </c>
      <c r="BG216" s="30">
        <f t="shared" si="10"/>
        <v>8.7397308162908693E-3</v>
      </c>
      <c r="BH216" s="30">
        <f t="shared" si="10"/>
        <v>7.7976087333218036E-3</v>
      </c>
      <c r="BI216" s="30">
        <f t="shared" si="10"/>
        <v>6.9922054103621623E-3</v>
      </c>
      <c r="BJ216" s="30">
        <f t="shared" si="10"/>
        <v>6.3175867956744014E-3</v>
      </c>
      <c r="BK216" s="30">
        <f t="shared" si="10"/>
        <v>5.5992308127368329E-3</v>
      </c>
      <c r="BL216" s="30">
        <f t="shared" si="10"/>
        <v>4.7244094488188004E-3</v>
      </c>
      <c r="BM216" s="30">
        <f t="shared" si="10"/>
        <v>3.8065382892968902E-3</v>
      </c>
      <c r="BN216" s="30">
        <f t="shared" si="10"/>
        <v>2.8998438545617677E-3</v>
      </c>
      <c r="BO216" s="30">
        <f t="shared" si="10"/>
        <v>2.0017793594306887E-3</v>
      </c>
    </row>
    <row r="217" spans="1:67" x14ac:dyDescent="0.2">
      <c r="C217" s="3" t="s">
        <v>160</v>
      </c>
      <c r="F217" s="30">
        <f>SUM(F$55:F$59)/SUM(E$55:E$59)-1</f>
        <v>2.9862223646267116E-2</v>
      </c>
      <c r="G217" s="30">
        <f t="shared" ref="G217:BO217" si="11">SUM(G$55:G$59)/SUM(F$55:F$59)-1</f>
        <v>2.6071806359280636E-2</v>
      </c>
      <c r="H217" s="30">
        <f t="shared" si="11"/>
        <v>1.1764705882352899E-2</v>
      </c>
      <c r="I217" s="30">
        <f t="shared" si="11"/>
        <v>2.9369455766004027E-3</v>
      </c>
      <c r="J217" s="30">
        <f t="shared" si="11"/>
        <v>-9.5619434650092705E-3</v>
      </c>
      <c r="K217" s="30">
        <f t="shared" si="11"/>
        <v>-1.2912568635732868E-2</v>
      </c>
      <c r="L217" s="30">
        <f t="shared" si="11"/>
        <v>-1.0330704810807556E-2</v>
      </c>
      <c r="M217" s="30">
        <f t="shared" si="11"/>
        <v>-6.7943174799256489E-4</v>
      </c>
      <c r="N217" s="30">
        <f t="shared" si="11"/>
        <v>9.8893627541876139E-3</v>
      </c>
      <c r="O217" s="30">
        <f t="shared" si="11"/>
        <v>1.6035253075463718E-2</v>
      </c>
      <c r="P217" s="30">
        <f t="shared" si="11"/>
        <v>6.3851575206312905E-3</v>
      </c>
      <c r="Q217" s="30">
        <f t="shared" si="11"/>
        <v>-1.8555096666068582E-3</v>
      </c>
      <c r="R217" s="30">
        <f t="shared" si="11"/>
        <v>-1.187335092348285E-2</v>
      </c>
      <c r="S217" s="30">
        <f t="shared" si="11"/>
        <v>-1.9298458550795039E-2</v>
      </c>
      <c r="T217" s="30">
        <f t="shared" si="11"/>
        <v>-3.5210396039603964E-2</v>
      </c>
      <c r="U217" s="30">
        <f t="shared" si="11"/>
        <v>-3.2454621255852745E-2</v>
      </c>
      <c r="V217" s="30">
        <f t="shared" si="11"/>
        <v>-2.7908518395757365E-2</v>
      </c>
      <c r="W217" s="30">
        <f t="shared" si="11"/>
        <v>-1.4866339334424494E-2</v>
      </c>
      <c r="X217" s="30">
        <f t="shared" si="11"/>
        <v>-6.5069915547556478E-3</v>
      </c>
      <c r="Y217" s="30">
        <f t="shared" si="11"/>
        <v>3.971571906354443E-3</v>
      </c>
      <c r="Z217" s="30">
        <f t="shared" si="11"/>
        <v>9.0221389409397279E-3</v>
      </c>
      <c r="AA217" s="30">
        <f t="shared" si="11"/>
        <v>1.5338056262466537E-2</v>
      </c>
      <c r="AB217" s="30">
        <f t="shared" si="11"/>
        <v>1.1177347242921076E-2</v>
      </c>
      <c r="AC217" s="30">
        <f t="shared" si="11"/>
        <v>1.5140349701882494E-2</v>
      </c>
      <c r="AD217" s="30">
        <f t="shared" si="11"/>
        <v>1.6234409027915175E-2</v>
      </c>
      <c r="AE217" s="30">
        <f t="shared" si="11"/>
        <v>1.7338788233002056E-2</v>
      </c>
      <c r="AF217" s="30">
        <f t="shared" si="11"/>
        <v>2.297970126388349E-2</v>
      </c>
      <c r="AG217" s="30">
        <f t="shared" si="11"/>
        <v>2.5021839510795063E-2</v>
      </c>
      <c r="AH217" s="30">
        <f t="shared" si="11"/>
        <v>3.0802946368783113E-2</v>
      </c>
      <c r="AI217" s="30">
        <f t="shared" si="11"/>
        <v>3.4193586487923033E-2</v>
      </c>
      <c r="AJ217" s="30">
        <f t="shared" si="11"/>
        <v>2.2784376427592568E-2</v>
      </c>
      <c r="AK217" s="30">
        <f t="shared" si="11"/>
        <v>1.3455418457930968E-2</v>
      </c>
      <c r="AL217" s="30">
        <f t="shared" si="11"/>
        <v>6.170118995151963E-3</v>
      </c>
      <c r="AM217" s="30">
        <f t="shared" si="11"/>
        <v>-2.5186158563293981E-3</v>
      </c>
      <c r="AN217" s="30">
        <f t="shared" si="11"/>
        <v>-1.1252607311450169E-2</v>
      </c>
      <c r="AO217" s="30">
        <f t="shared" si="11"/>
        <v>-5.9956697940376502E-3</v>
      </c>
      <c r="AP217" s="30">
        <f t="shared" si="11"/>
        <v>-8.3775481709019717E-3</v>
      </c>
      <c r="AQ217" s="30">
        <f t="shared" si="11"/>
        <v>-1.0194311461560135E-2</v>
      </c>
      <c r="AR217" s="30">
        <f t="shared" si="11"/>
        <v>-5.4057129850916263E-3</v>
      </c>
      <c r="AS217" s="30">
        <f t="shared" si="11"/>
        <v>-4.7485554093483762E-3</v>
      </c>
      <c r="AT217" s="30">
        <f t="shared" si="11"/>
        <v>-1.1726833754886146E-2</v>
      </c>
      <c r="AU217" s="30">
        <f t="shared" si="11"/>
        <v>-1.1051651931130779E-2</v>
      </c>
      <c r="AV217" s="30">
        <f t="shared" si="11"/>
        <v>-2.6467474414775261E-3</v>
      </c>
      <c r="AW217" s="30">
        <f t="shared" si="11"/>
        <v>-9.2587132157810892E-3</v>
      </c>
      <c r="AX217" s="30">
        <f t="shared" si="11"/>
        <v>-2.9761904761904656E-3</v>
      </c>
      <c r="AY217" s="30">
        <f t="shared" si="11"/>
        <v>1.1104477611940222E-2</v>
      </c>
      <c r="AZ217" s="30">
        <f t="shared" si="11"/>
        <v>1.9307982994803963E-2</v>
      </c>
      <c r="BA217" s="30">
        <f t="shared" si="11"/>
        <v>1.3265365231999171E-2</v>
      </c>
      <c r="BB217" s="30">
        <f t="shared" si="11"/>
        <v>1.8579922250171466E-2</v>
      </c>
      <c r="BC217" s="30">
        <f t="shared" si="11"/>
        <v>1.0551720267160558E-2</v>
      </c>
      <c r="BD217" s="30">
        <f t="shared" si="11"/>
        <v>6.6648153290760348E-4</v>
      </c>
      <c r="BE217" s="30">
        <f t="shared" si="11"/>
        <v>-8.9360048842759277E-3</v>
      </c>
      <c r="BF217" s="30">
        <f t="shared" si="11"/>
        <v>-1.198476702508966E-2</v>
      </c>
      <c r="BG217" s="30">
        <f t="shared" si="11"/>
        <v>-1.7911801383063142E-2</v>
      </c>
      <c r="BH217" s="30">
        <f t="shared" si="11"/>
        <v>-1.2120512524529614E-2</v>
      </c>
      <c r="BI217" s="30">
        <f t="shared" si="11"/>
        <v>-6.7772844122458986E-3</v>
      </c>
      <c r="BJ217" s="30">
        <f t="shared" si="11"/>
        <v>-1.6470588235294459E-3</v>
      </c>
      <c r="BK217" s="30">
        <f t="shared" si="11"/>
        <v>5.7152957812869332E-3</v>
      </c>
      <c r="BL217" s="30">
        <f t="shared" si="11"/>
        <v>8.7878610346241448E-3</v>
      </c>
      <c r="BM217" s="30">
        <f t="shared" si="11"/>
        <v>7.8401765491609154E-3</v>
      </c>
      <c r="BN217" s="30">
        <f t="shared" si="11"/>
        <v>7.0877031231992849E-3</v>
      </c>
      <c r="BO217" s="30">
        <f t="shared" si="11"/>
        <v>6.4656405561596131E-3</v>
      </c>
    </row>
    <row r="218" spans="1:67" x14ac:dyDescent="0.2">
      <c r="C218" s="3" t="s">
        <v>161</v>
      </c>
      <c r="F218" s="30">
        <f>SUM(F$60:F$64)/SUM(E$60:E$64)-1</f>
        <v>2.721902340536908E-2</v>
      </c>
      <c r="G218" s="30">
        <f t="shared" ref="G218:BO218" si="12">SUM(G$60:G$64)/SUM(F$60:F$64)-1</f>
        <v>2.7444128994685846E-2</v>
      </c>
      <c r="H218" s="30">
        <f t="shared" si="12"/>
        <v>2.8978319399178165E-2</v>
      </c>
      <c r="I218" s="30">
        <f t="shared" si="12"/>
        <v>2.9401638779866346E-2</v>
      </c>
      <c r="J218" s="30">
        <f t="shared" si="12"/>
        <v>2.9364548494983378E-2</v>
      </c>
      <c r="K218" s="30">
        <f t="shared" si="12"/>
        <v>2.7227240236532557E-2</v>
      </c>
      <c r="L218" s="30">
        <f t="shared" si="12"/>
        <v>2.4797570850202399E-2</v>
      </c>
      <c r="M218" s="30">
        <f t="shared" si="12"/>
        <v>1.2654320987654399E-2</v>
      </c>
      <c r="N218" s="30">
        <f t="shared" si="12"/>
        <v>4.3889058213959498E-3</v>
      </c>
      <c r="O218" s="30">
        <f t="shared" si="12"/>
        <v>-7.9504764216786761E-3</v>
      </c>
      <c r="P218" s="30">
        <f t="shared" si="12"/>
        <v>-1.0277743790529814E-2</v>
      </c>
      <c r="Q218" s="30">
        <f t="shared" si="12"/>
        <v>-9.8899740388181945E-3</v>
      </c>
      <c r="R218" s="30">
        <f t="shared" si="12"/>
        <v>-2.0601822949182225E-3</v>
      </c>
      <c r="S218" s="30">
        <f t="shared" si="12"/>
        <v>5.4426024397873363E-3</v>
      </c>
      <c r="T218" s="30">
        <f t="shared" si="12"/>
        <v>1.3999502239920414E-2</v>
      </c>
      <c r="U218" s="30">
        <f t="shared" si="12"/>
        <v>6.7497085353132036E-3</v>
      </c>
      <c r="V218" s="30">
        <f t="shared" si="12"/>
        <v>-1.7065886511854478E-3</v>
      </c>
      <c r="W218" s="30">
        <f t="shared" si="12"/>
        <v>-1.1783381158800954E-2</v>
      </c>
      <c r="X218" s="30">
        <f t="shared" si="12"/>
        <v>-1.9337699246262163E-2</v>
      </c>
      <c r="Y218" s="30">
        <f t="shared" si="12"/>
        <v>-3.5469035469035459E-2</v>
      </c>
      <c r="Z218" s="30">
        <f t="shared" si="12"/>
        <v>-3.2593076420640132E-2</v>
      </c>
      <c r="AA218" s="30">
        <f t="shared" si="12"/>
        <v>-2.79521976909054E-2</v>
      </c>
      <c r="AB218" s="30">
        <f t="shared" si="12"/>
        <v>-1.4864207821073783E-2</v>
      </c>
      <c r="AC218" s="30">
        <f t="shared" si="12"/>
        <v>-6.275118099132726E-3</v>
      </c>
      <c r="AD218" s="30">
        <f t="shared" si="12"/>
        <v>4.115226337448652E-3</v>
      </c>
      <c r="AE218" s="30">
        <f t="shared" si="12"/>
        <v>9.2566421707178659E-3</v>
      </c>
      <c r="AF218" s="30">
        <f t="shared" si="12"/>
        <v>1.5752993068683052E-2</v>
      </c>
      <c r="AG218" s="30">
        <f t="shared" si="12"/>
        <v>1.1373035566583978E-2</v>
      </c>
      <c r="AH218" s="30">
        <f t="shared" si="12"/>
        <v>1.5470592244258174E-2</v>
      </c>
      <c r="AI218" s="30">
        <f t="shared" si="12"/>
        <v>1.6577181208053737E-2</v>
      </c>
      <c r="AJ218" s="30">
        <f t="shared" si="12"/>
        <v>1.7759292269096116E-2</v>
      </c>
      <c r="AK218" s="30">
        <f t="shared" si="12"/>
        <v>2.3222625843279721E-2</v>
      </c>
      <c r="AL218" s="30">
        <f t="shared" si="12"/>
        <v>2.5611766197540353E-2</v>
      </c>
      <c r="AM218" s="30">
        <f t="shared" si="12"/>
        <v>3.115341822227724E-2</v>
      </c>
      <c r="AN218" s="30">
        <f t="shared" si="12"/>
        <v>3.4708068576909223E-2</v>
      </c>
      <c r="AO218" s="30">
        <f t="shared" si="12"/>
        <v>2.3057760268814009E-2</v>
      </c>
      <c r="AP218" s="30">
        <f t="shared" si="12"/>
        <v>1.3704060252562433E-2</v>
      </c>
      <c r="AQ218" s="30">
        <f t="shared" si="12"/>
        <v>6.3124965085750162E-3</v>
      </c>
      <c r="AR218" s="30">
        <f t="shared" si="12"/>
        <v>-2.3870323082046951E-3</v>
      </c>
      <c r="AS218" s="30">
        <f t="shared" si="12"/>
        <v>-1.1295976851594225E-2</v>
      </c>
      <c r="AT218" s="30">
        <f t="shared" si="12"/>
        <v>-5.9657811796488547E-3</v>
      </c>
      <c r="AU218" s="30">
        <f t="shared" si="12"/>
        <v>-8.2663345034537095E-3</v>
      </c>
      <c r="AV218" s="30">
        <f t="shared" si="12"/>
        <v>-1.0219228134277225E-2</v>
      </c>
      <c r="AW218" s="30">
        <f t="shared" si="12"/>
        <v>-5.3065697640883869E-3</v>
      </c>
      <c r="AX218" s="30">
        <f t="shared" si="12"/>
        <v>-4.6390258045810873E-3</v>
      </c>
      <c r="AY218" s="30">
        <f t="shared" si="12"/>
        <v>-1.1768132828429922E-2</v>
      </c>
      <c r="AZ218" s="30">
        <f t="shared" si="12"/>
        <v>-1.114189707009372E-2</v>
      </c>
      <c r="BA218" s="30">
        <f t="shared" si="12"/>
        <v>-2.6231071896983815E-3</v>
      </c>
      <c r="BB218" s="30">
        <f t="shared" si="12"/>
        <v>-9.2647937836222161E-3</v>
      </c>
      <c r="BC218" s="30">
        <f t="shared" si="12"/>
        <v>-2.8355957767722817E-3</v>
      </c>
      <c r="BD218" s="30">
        <f t="shared" si="12"/>
        <v>1.1314133591481035E-2</v>
      </c>
      <c r="BE218" s="30">
        <f t="shared" si="12"/>
        <v>1.9682919533353216E-2</v>
      </c>
      <c r="BF218" s="30">
        <f t="shared" si="12"/>
        <v>1.3435813189392132E-2</v>
      </c>
      <c r="BG218" s="30">
        <f t="shared" si="12"/>
        <v>1.881549238696234E-2</v>
      </c>
      <c r="BH218" s="30">
        <f t="shared" si="12"/>
        <v>1.0739856801909253E-2</v>
      </c>
      <c r="BI218" s="30">
        <f t="shared" si="12"/>
        <v>6.7465002529942808E-4</v>
      </c>
      <c r="BJ218" s="30">
        <f t="shared" si="12"/>
        <v>-8.9892690600595904E-3</v>
      </c>
      <c r="BK218" s="30">
        <f t="shared" si="12"/>
        <v>-1.2075514484948147E-2</v>
      </c>
      <c r="BL218" s="30">
        <f t="shared" si="12"/>
        <v>-1.7961666475381666E-2</v>
      </c>
      <c r="BM218" s="30">
        <f t="shared" si="12"/>
        <v>-1.2037632209431437E-2</v>
      </c>
      <c r="BN218" s="30">
        <f t="shared" si="12"/>
        <v>-6.8610634648370583E-3</v>
      </c>
      <c r="BO218" s="30">
        <f t="shared" si="12"/>
        <v>-1.6080042880114442E-3</v>
      </c>
    </row>
    <row r="219" spans="1:67" x14ac:dyDescent="0.2">
      <c r="C219" s="3" t="s">
        <v>162</v>
      </c>
      <c r="F219" s="30">
        <f>SUM(F$65:F$69)/SUM(E$65:E$69)-1</f>
        <v>2.1150248108678937E-3</v>
      </c>
      <c r="G219" s="30">
        <f t="shared" ref="G219:BO219" si="13">SUM(G$65:G$69)/SUM(F$65:F$69)-1</f>
        <v>5.7634548258786999E-3</v>
      </c>
      <c r="H219" s="30">
        <f t="shared" si="13"/>
        <v>1.9209039548022666E-2</v>
      </c>
      <c r="I219" s="30">
        <f t="shared" si="13"/>
        <v>1.9876464998416221E-2</v>
      </c>
      <c r="J219" s="30">
        <f t="shared" si="13"/>
        <v>2.6943085643295284E-2</v>
      </c>
      <c r="K219" s="30">
        <f t="shared" si="13"/>
        <v>2.8504460910328211E-2</v>
      </c>
      <c r="L219" s="30">
        <f t="shared" si="13"/>
        <v>2.6097184444607846E-2</v>
      </c>
      <c r="M219" s="30">
        <f t="shared" si="13"/>
        <v>2.9373835793093495E-2</v>
      </c>
      <c r="N219" s="30">
        <f t="shared" si="13"/>
        <v>2.9370824053452038E-2</v>
      </c>
      <c r="O219" s="30">
        <f t="shared" si="13"/>
        <v>3.123732251521294E-2</v>
      </c>
      <c r="P219" s="30">
        <f t="shared" si="13"/>
        <v>2.7406241804353471E-2</v>
      </c>
      <c r="Q219" s="30">
        <f t="shared" si="13"/>
        <v>2.5079770261646539E-2</v>
      </c>
      <c r="R219" s="30">
        <f t="shared" si="13"/>
        <v>1.1454896345639121E-2</v>
      </c>
      <c r="S219" s="30">
        <f t="shared" si="13"/>
        <v>9.2324736874505042E-4</v>
      </c>
      <c r="T219" s="30">
        <f t="shared" si="13"/>
        <v>-9.3469437953511703E-3</v>
      </c>
      <c r="U219" s="30">
        <f t="shared" si="13"/>
        <v>-9.9317194289261224E-3</v>
      </c>
      <c r="V219" s="30">
        <f t="shared" si="13"/>
        <v>-9.529780564263346E-3</v>
      </c>
      <c r="W219" s="30">
        <f t="shared" si="13"/>
        <v>-1.7090770983668735E-3</v>
      </c>
      <c r="X219" s="30">
        <f t="shared" si="13"/>
        <v>5.7700843320018791E-3</v>
      </c>
      <c r="Y219" s="30">
        <f t="shared" si="13"/>
        <v>1.4310931786659875E-2</v>
      </c>
      <c r="Z219" s="30">
        <f t="shared" si="13"/>
        <v>6.96127789172718E-3</v>
      </c>
      <c r="AA219" s="30">
        <f t="shared" si="13"/>
        <v>-1.3579408678476845E-3</v>
      </c>
      <c r="AB219" s="30">
        <f t="shared" si="13"/>
        <v>-1.1558192718956639E-2</v>
      </c>
      <c r="AC219" s="30">
        <f t="shared" si="13"/>
        <v>-1.9197098549274649E-2</v>
      </c>
      <c r="AD219" s="30">
        <f t="shared" si="13"/>
        <v>-3.519285941982786E-2</v>
      </c>
      <c r="AE219" s="30">
        <f t="shared" si="13"/>
        <v>-3.2445648582567932E-2</v>
      </c>
      <c r="AF219" s="30">
        <f t="shared" si="13"/>
        <v>-2.7796749077994787E-2</v>
      </c>
      <c r="AG219" s="30">
        <f t="shared" si="13"/>
        <v>-1.4611872146118698E-2</v>
      </c>
      <c r="AH219" s="30">
        <f t="shared" si="13"/>
        <v>-6.1310330077707365E-3</v>
      </c>
      <c r="AI219" s="30">
        <f t="shared" si="13"/>
        <v>4.3755828132845398E-3</v>
      </c>
      <c r="AJ219" s="30">
        <f t="shared" si="13"/>
        <v>9.5700614197971046E-3</v>
      </c>
      <c r="AK219" s="30">
        <f t="shared" si="13"/>
        <v>1.6058290888511628E-2</v>
      </c>
      <c r="AL219" s="30">
        <f t="shared" si="13"/>
        <v>1.169672074079231E-2</v>
      </c>
      <c r="AM219" s="30">
        <f t="shared" si="13"/>
        <v>1.5690592526323099E-2</v>
      </c>
      <c r="AN219" s="30">
        <f t="shared" si="13"/>
        <v>1.6735551189104969E-2</v>
      </c>
      <c r="AO219" s="30">
        <f t="shared" si="13"/>
        <v>1.7992802878848524E-2</v>
      </c>
      <c r="AP219" s="30">
        <f t="shared" si="13"/>
        <v>2.3435454307410231E-2</v>
      </c>
      <c r="AQ219" s="30">
        <f t="shared" si="13"/>
        <v>2.5841115517462043E-2</v>
      </c>
      <c r="AR219" s="30">
        <f t="shared" si="13"/>
        <v>3.1550068587105518E-2</v>
      </c>
      <c r="AS219" s="30">
        <f t="shared" si="13"/>
        <v>3.481624758220514E-2</v>
      </c>
      <c r="AT219" s="30">
        <f t="shared" si="13"/>
        <v>2.3306074766355156E-2</v>
      </c>
      <c r="AU219" s="30">
        <f t="shared" si="13"/>
        <v>1.3870654717734965E-2</v>
      </c>
      <c r="AV219" s="30">
        <f t="shared" si="13"/>
        <v>6.5307960815224053E-3</v>
      </c>
      <c r="AW219" s="30">
        <f t="shared" si="13"/>
        <v>-2.2373867322966756E-3</v>
      </c>
      <c r="AX219" s="30">
        <f t="shared" si="13"/>
        <v>-1.1212019284673191E-2</v>
      </c>
      <c r="AY219" s="30">
        <f t="shared" si="13"/>
        <v>-5.7262728200476731E-3</v>
      </c>
      <c r="AZ219" s="30">
        <f t="shared" si="13"/>
        <v>-8.2112105833380689E-3</v>
      </c>
      <c r="BA219" s="30">
        <f t="shared" si="13"/>
        <v>-1.0061519001897334E-2</v>
      </c>
      <c r="BB219" s="30">
        <f t="shared" si="13"/>
        <v>-5.3432454408177676E-3</v>
      </c>
      <c r="BC219" s="30">
        <f t="shared" si="13"/>
        <v>-4.4376970687842743E-3</v>
      </c>
      <c r="BD219" s="30">
        <f t="shared" si="13"/>
        <v>-1.1671554252199456E-2</v>
      </c>
      <c r="BE219" s="30">
        <f t="shared" si="13"/>
        <v>-1.0978576939054019E-2</v>
      </c>
      <c r="BF219" s="30">
        <f t="shared" si="13"/>
        <v>-2.5801032041281591E-3</v>
      </c>
      <c r="BG219" s="30">
        <f t="shared" si="13"/>
        <v>-9.2041147807254697E-3</v>
      </c>
      <c r="BH219" s="30">
        <f t="shared" si="13"/>
        <v>-2.6715239829994131E-3</v>
      </c>
      <c r="BI219" s="30">
        <f t="shared" si="13"/>
        <v>1.1445269694386973E-2</v>
      </c>
      <c r="BJ219" s="30">
        <f t="shared" si="13"/>
        <v>1.9802576140604211E-2</v>
      </c>
      <c r="BK219" s="30">
        <f t="shared" si="13"/>
        <v>1.357492769875468E-2</v>
      </c>
      <c r="BL219" s="30">
        <f t="shared" si="13"/>
        <v>1.886682583124677E-2</v>
      </c>
      <c r="BM219" s="30">
        <f t="shared" si="13"/>
        <v>1.0973309710236023E-2</v>
      </c>
      <c r="BN219" s="30">
        <f t="shared" si="13"/>
        <v>7.3492000678387903E-4</v>
      </c>
      <c r="BO219" s="30">
        <f t="shared" si="13"/>
        <v>-8.9255451361428539E-3</v>
      </c>
    </row>
    <row r="220" spans="1:67" x14ac:dyDescent="0.2">
      <c r="C220" s="3" t="s">
        <v>163</v>
      </c>
      <c r="F220" s="30">
        <f>SUM(F$70:F$74)/SUM(E$70:E$74)-1</f>
        <v>5.8364116094986818E-2</v>
      </c>
      <c r="G220" s="30">
        <f t="shared" ref="G220:BO220" si="14">SUM(G$70:G$74)/SUM(F$70:F$74)-1</f>
        <v>7.3294774631033066E-2</v>
      </c>
      <c r="H220" s="30">
        <f t="shared" si="14"/>
        <v>4.7198736411781184E-2</v>
      </c>
      <c r="I220" s="30">
        <f t="shared" si="14"/>
        <v>4.2675893886966465E-2</v>
      </c>
      <c r="J220" s="30">
        <f t="shared" si="14"/>
        <v>3.1654186521443251E-2</v>
      </c>
      <c r="K220" s="30">
        <f t="shared" si="14"/>
        <v>5.4437479379743081E-3</v>
      </c>
      <c r="L220" s="30">
        <f t="shared" si="14"/>
        <v>9.926168990976203E-3</v>
      </c>
      <c r="M220" s="30">
        <f t="shared" si="14"/>
        <v>2.1363008691414276E-2</v>
      </c>
      <c r="N220" s="30">
        <f t="shared" si="14"/>
        <v>2.314299347860671E-2</v>
      </c>
      <c r="O220" s="30">
        <f t="shared" si="14"/>
        <v>2.8060629615235033E-2</v>
      </c>
      <c r="P220" s="30">
        <f t="shared" si="14"/>
        <v>2.6463027370331238E-2</v>
      </c>
      <c r="Q220" s="30">
        <f t="shared" si="14"/>
        <v>2.5191514437242102E-2</v>
      </c>
      <c r="R220" s="30">
        <f t="shared" si="14"/>
        <v>2.7087225176031016E-2</v>
      </c>
      <c r="S220" s="30">
        <f t="shared" si="14"/>
        <v>2.5603357817418626E-2</v>
      </c>
      <c r="T220" s="30">
        <f t="shared" si="14"/>
        <v>2.9534138189755144E-2</v>
      </c>
      <c r="U220" s="30">
        <f t="shared" si="14"/>
        <v>2.7759374585928143E-2</v>
      </c>
      <c r="V220" s="30">
        <f t="shared" si="14"/>
        <v>2.5462515309740308E-2</v>
      </c>
      <c r="W220" s="30">
        <f t="shared" si="14"/>
        <v>1.1755091777721827E-2</v>
      </c>
      <c r="X220" s="30">
        <f t="shared" si="14"/>
        <v>1.4290152221185792E-3</v>
      </c>
      <c r="Y220" s="30">
        <f t="shared" si="14"/>
        <v>-8.8100260578235501E-3</v>
      </c>
      <c r="Z220" s="30">
        <f t="shared" si="14"/>
        <v>-9.4516775162744038E-3</v>
      </c>
      <c r="AA220" s="30">
        <f t="shared" si="14"/>
        <v>-8.9731437598735697E-3</v>
      </c>
      <c r="AB220" s="30">
        <f t="shared" si="14"/>
        <v>-1.1477395906395182E-3</v>
      </c>
      <c r="AC220" s="30">
        <f t="shared" si="14"/>
        <v>6.0644749441429724E-3</v>
      </c>
      <c r="AD220" s="30">
        <f t="shared" si="14"/>
        <v>1.4720812182741128E-2</v>
      </c>
      <c r="AE220" s="30">
        <f t="shared" si="14"/>
        <v>7.3786893446723401E-3</v>
      </c>
      <c r="AF220" s="30">
        <f t="shared" si="14"/>
        <v>-1.1793916821849493E-3</v>
      </c>
      <c r="AG220" s="30">
        <f t="shared" si="14"/>
        <v>-1.1062084395003446E-2</v>
      </c>
      <c r="AH220" s="30">
        <f t="shared" si="14"/>
        <v>-1.8601143718971924E-2</v>
      </c>
      <c r="AI220" s="30">
        <f t="shared" si="14"/>
        <v>-3.4705769353909233E-2</v>
      </c>
      <c r="AJ220" s="30">
        <f t="shared" si="14"/>
        <v>-3.1708126036484208E-2</v>
      </c>
      <c r="AK220" s="30">
        <f t="shared" si="14"/>
        <v>-2.7334383777488536E-2</v>
      </c>
      <c r="AL220" s="30">
        <f t="shared" si="14"/>
        <v>-1.4156923510353581E-2</v>
      </c>
      <c r="AM220" s="30">
        <f t="shared" si="14"/>
        <v>-5.7155104665285172E-3</v>
      </c>
      <c r="AN220" s="30">
        <f t="shared" si="14"/>
        <v>4.670546813249965E-3</v>
      </c>
      <c r="AO220" s="30">
        <f t="shared" si="14"/>
        <v>9.6552710627950677E-3</v>
      </c>
      <c r="AP220" s="30">
        <f t="shared" si="14"/>
        <v>1.62215768222711E-2</v>
      </c>
      <c r="AQ220" s="30">
        <f t="shared" si="14"/>
        <v>1.1780287188066341E-2</v>
      </c>
      <c r="AR220" s="30">
        <f t="shared" si="14"/>
        <v>1.5983465380640771E-2</v>
      </c>
      <c r="AS220" s="30">
        <f t="shared" si="14"/>
        <v>1.6952600528921113E-2</v>
      </c>
      <c r="AT220" s="30">
        <f t="shared" si="14"/>
        <v>1.7936920717476879E-2</v>
      </c>
      <c r="AU220" s="30">
        <f t="shared" si="14"/>
        <v>2.3712825887593381E-2</v>
      </c>
      <c r="AV220" s="30">
        <f t="shared" si="14"/>
        <v>2.5787048886613873E-2</v>
      </c>
      <c r="AW220" s="30">
        <f t="shared" si="14"/>
        <v>3.1439086769384339E-2</v>
      </c>
      <c r="AX220" s="30">
        <f t="shared" si="14"/>
        <v>3.4956153613546981E-2</v>
      </c>
      <c r="AY220" s="30">
        <f t="shared" si="14"/>
        <v>2.3315608017296707E-2</v>
      </c>
      <c r="AZ220" s="30">
        <f t="shared" si="14"/>
        <v>1.4047510278666131E-2</v>
      </c>
      <c r="BA220" s="30">
        <f t="shared" si="14"/>
        <v>6.5885797950220315E-3</v>
      </c>
      <c r="BB220" s="30">
        <f t="shared" si="14"/>
        <v>-2.125874125874172E-3</v>
      </c>
      <c r="BC220" s="30">
        <f t="shared" si="14"/>
        <v>-1.0820205191455989E-2</v>
      </c>
      <c r="BD220" s="30">
        <f t="shared" si="14"/>
        <v>-5.610972568578565E-3</v>
      </c>
      <c r="BE220" s="30">
        <f t="shared" si="14"/>
        <v>-7.8654887432316745E-3</v>
      </c>
      <c r="BF220" s="30">
        <f t="shared" si="14"/>
        <v>-9.9959786292870279E-3</v>
      </c>
      <c r="BG220" s="30">
        <f t="shared" si="14"/>
        <v>-4.9904253467184523E-3</v>
      </c>
      <c r="BH220" s="30">
        <f t="shared" si="14"/>
        <v>-4.3156237242666373E-3</v>
      </c>
      <c r="BI220" s="30">
        <f t="shared" si="14"/>
        <v>-1.1421542786856476E-2</v>
      </c>
      <c r="BJ220" s="30">
        <f t="shared" si="14"/>
        <v>-1.0783268159734516E-2</v>
      </c>
      <c r="BK220" s="30">
        <f t="shared" si="14"/>
        <v>-2.4556780067082062E-3</v>
      </c>
      <c r="BL220" s="30">
        <f t="shared" si="14"/>
        <v>-8.88622035424802E-3</v>
      </c>
      <c r="BM220" s="30">
        <f t="shared" si="14"/>
        <v>-2.4837947537408311E-3</v>
      </c>
      <c r="BN220" s="30">
        <f t="shared" si="14"/>
        <v>1.1478197497874376E-2</v>
      </c>
      <c r="BO220" s="30">
        <f t="shared" si="14"/>
        <v>1.9873911738216732E-2</v>
      </c>
    </row>
    <row r="221" spans="1:67" x14ac:dyDescent="0.2">
      <c r="C221" s="3" t="s">
        <v>449</v>
      </c>
      <c r="F221" s="30">
        <f>SUM(F$75:F$105)/SUM(E$75:E$105)-1</f>
        <v>2.2746568558086988E-2</v>
      </c>
      <c r="G221" s="30">
        <f t="shared" ref="G221:BO221" si="15">SUM(G$75:G$105)/SUM(F$75:F$105)-1</f>
        <v>1.542665421465883E-2</v>
      </c>
      <c r="H221" s="30">
        <f t="shared" si="15"/>
        <v>2.0914943625029769E-2</v>
      </c>
      <c r="I221" s="30">
        <f t="shared" si="15"/>
        <v>2.4256781555503704E-2</v>
      </c>
      <c r="J221" s="30">
        <f t="shared" si="15"/>
        <v>2.5864877190696411E-2</v>
      </c>
      <c r="K221" s="30">
        <f t="shared" si="15"/>
        <v>3.5374063254159704E-2</v>
      </c>
      <c r="L221" s="30">
        <f t="shared" si="15"/>
        <v>3.4901551861620472E-2</v>
      </c>
      <c r="M221" s="30">
        <f t="shared" si="15"/>
        <v>3.5947131341868221E-2</v>
      </c>
      <c r="N221" s="30">
        <f t="shared" si="15"/>
        <v>3.8189776010527199E-2</v>
      </c>
      <c r="O221" s="30">
        <f t="shared" si="15"/>
        <v>3.5214372313457476E-2</v>
      </c>
      <c r="P221" s="30">
        <f t="shared" si="15"/>
        <v>3.4016502528613213E-2</v>
      </c>
      <c r="Q221" s="30">
        <f t="shared" si="15"/>
        <v>3.3515238879736398E-2</v>
      </c>
      <c r="R221" s="30">
        <f t="shared" si="15"/>
        <v>3.4445828144458179E-2</v>
      </c>
      <c r="S221" s="30">
        <f t="shared" si="15"/>
        <v>3.3948908097175767E-2</v>
      </c>
      <c r="T221" s="30">
        <f t="shared" si="15"/>
        <v>3.413827631977262E-2</v>
      </c>
      <c r="U221" s="30">
        <f t="shared" si="15"/>
        <v>3.422729626877441E-2</v>
      </c>
      <c r="V221" s="30">
        <f t="shared" si="15"/>
        <v>3.3290513618846385E-2</v>
      </c>
      <c r="W221" s="30">
        <f t="shared" si="15"/>
        <v>3.4451515023810497E-2</v>
      </c>
      <c r="X221" s="30">
        <f t="shared" si="15"/>
        <v>3.3568940582160423E-2</v>
      </c>
      <c r="Y221" s="30">
        <f t="shared" si="15"/>
        <v>3.4410043160363335E-2</v>
      </c>
      <c r="Z221" s="30">
        <f t="shared" si="15"/>
        <v>3.4046525806390227E-2</v>
      </c>
      <c r="AA221" s="30">
        <f t="shared" si="15"/>
        <v>3.2428050263477948E-2</v>
      </c>
      <c r="AB221" s="30">
        <f t="shared" si="15"/>
        <v>2.95356390762751E-2</v>
      </c>
      <c r="AC221" s="30">
        <f t="shared" si="15"/>
        <v>2.5620135554438539E-2</v>
      </c>
      <c r="AD221" s="30">
        <f t="shared" si="15"/>
        <v>2.3982963476262054E-2</v>
      </c>
      <c r="AE221" s="30">
        <f t="shared" si="15"/>
        <v>2.3454263361172512E-2</v>
      </c>
      <c r="AF221" s="30">
        <f t="shared" si="15"/>
        <v>2.2578096021417027E-2</v>
      </c>
      <c r="AG221" s="30">
        <f t="shared" si="15"/>
        <v>2.1953412083839385E-2</v>
      </c>
      <c r="AH221" s="30">
        <f t="shared" si="15"/>
        <v>2.0663899134245822E-2</v>
      </c>
      <c r="AI221" s="30">
        <f t="shared" si="15"/>
        <v>2.1062021833136768E-2</v>
      </c>
      <c r="AJ221" s="30">
        <f t="shared" si="15"/>
        <v>1.8909834002162063E-2</v>
      </c>
      <c r="AK221" s="30">
        <f t="shared" si="15"/>
        <v>1.6364376235321387E-2</v>
      </c>
      <c r="AL221" s="30">
        <f t="shared" si="15"/>
        <v>1.3512740583979221E-2</v>
      </c>
      <c r="AM221" s="30">
        <f t="shared" si="15"/>
        <v>1.100466993044491E-2</v>
      </c>
      <c r="AN221" s="30">
        <f t="shared" si="15"/>
        <v>8.3032138321774696E-3</v>
      </c>
      <c r="AO221" s="30">
        <f t="shared" si="15"/>
        <v>7.3905942923575552E-3</v>
      </c>
      <c r="AP221" s="30">
        <f t="shared" si="15"/>
        <v>6.4158927295707713E-3</v>
      </c>
      <c r="AQ221" s="30">
        <f t="shared" si="15"/>
        <v>6.8118217186539098E-3</v>
      </c>
      <c r="AR221" s="30">
        <f t="shared" si="15"/>
        <v>6.1149225804701945E-3</v>
      </c>
      <c r="AS221" s="30">
        <f t="shared" si="15"/>
        <v>5.6195674145946839E-3</v>
      </c>
      <c r="AT221" s="30">
        <f t="shared" si="15"/>
        <v>5.8561818230549179E-3</v>
      </c>
      <c r="AU221" s="30">
        <f t="shared" si="15"/>
        <v>6.2617407639322664E-3</v>
      </c>
      <c r="AV221" s="30">
        <f t="shared" si="15"/>
        <v>5.9447364588436358E-3</v>
      </c>
      <c r="AW221" s="30">
        <f t="shared" si="15"/>
        <v>5.975413935612961E-3</v>
      </c>
      <c r="AX221" s="30">
        <f t="shared" si="15"/>
        <v>6.1100062800920618E-3</v>
      </c>
      <c r="AY221" s="30">
        <f t="shared" si="15"/>
        <v>6.6580839802858893E-3</v>
      </c>
      <c r="AZ221" s="30">
        <f t="shared" si="15"/>
        <v>8.2158866310988454E-3</v>
      </c>
      <c r="BA221" s="30">
        <f t="shared" si="15"/>
        <v>8.6614475892732301E-3</v>
      </c>
      <c r="BB221" s="30">
        <f t="shared" si="15"/>
        <v>1.0314647561703749E-2</v>
      </c>
      <c r="BC221" s="30">
        <f t="shared" si="15"/>
        <v>1.1089457471553432E-2</v>
      </c>
      <c r="BD221" s="30">
        <f t="shared" si="15"/>
        <v>9.8735342029669937E-3</v>
      </c>
      <c r="BE221" s="30">
        <f t="shared" si="15"/>
        <v>9.5061013902058011E-3</v>
      </c>
      <c r="BF221" s="30">
        <f t="shared" si="15"/>
        <v>8.5383555127283017E-3</v>
      </c>
      <c r="BG221" s="30">
        <f t="shared" si="15"/>
        <v>8.5265411269548341E-3</v>
      </c>
      <c r="BH221" s="30">
        <f t="shared" si="15"/>
        <v>7.6749652228138565E-3</v>
      </c>
      <c r="BI221" s="30">
        <f t="shared" si="15"/>
        <v>7.7950207073833599E-3</v>
      </c>
      <c r="BJ221" s="30">
        <f t="shared" si="15"/>
        <v>7.3804659730996036E-3</v>
      </c>
      <c r="BK221" s="30">
        <f t="shared" si="15"/>
        <v>6.2713930698174991E-3</v>
      </c>
      <c r="BL221" s="30">
        <f t="shared" si="15"/>
        <v>7.4205235138566916E-3</v>
      </c>
      <c r="BM221" s="30">
        <f t="shared" si="15"/>
        <v>6.9264569842737433E-3</v>
      </c>
      <c r="BN221" s="30">
        <f t="shared" si="15"/>
        <v>5.7878478163506664E-3</v>
      </c>
      <c r="BO221" s="30">
        <f t="shared" si="15"/>
        <v>5.4690978842926175E-3</v>
      </c>
    </row>
    <row r="222" spans="1:67" x14ac:dyDescent="0.2">
      <c r="C222" s="3" t="s">
        <v>474</v>
      </c>
      <c r="F222" s="30">
        <f>SUM(F$35:F$49)/SUM(E$35:E$49)-1</f>
        <v>-1.0297508450672899E-3</v>
      </c>
      <c r="G222" s="30">
        <f t="shared" ref="G222:BO222" si="16">SUM(G$35:G$49)/SUM(F$35:F$49)-1</f>
        <v>-4.3697478991596705E-3</v>
      </c>
      <c r="H222" s="30">
        <f t="shared" si="16"/>
        <v>-3.893765473778954E-3</v>
      </c>
      <c r="I222" s="30">
        <f t="shared" si="16"/>
        <v>-3.8412002621054375E-3</v>
      </c>
      <c r="J222" s="30">
        <f t="shared" si="16"/>
        <v>-1.2157778937101682E-2</v>
      </c>
      <c r="K222" s="30">
        <f t="shared" si="16"/>
        <v>-1.2674795067851519E-2</v>
      </c>
      <c r="L222" s="30">
        <f t="shared" si="16"/>
        <v>-3.2791460266518024E-3</v>
      </c>
      <c r="M222" s="30">
        <f t="shared" si="16"/>
        <v>1.5119697606047922E-2</v>
      </c>
      <c r="N222" s="30">
        <f t="shared" si="16"/>
        <v>2.6731945019077719E-2</v>
      </c>
      <c r="O222" s="30">
        <f t="shared" si="16"/>
        <v>2.5968792675009622E-2</v>
      </c>
      <c r="P222" s="30">
        <f t="shared" si="16"/>
        <v>1.7325274389578649E-2</v>
      </c>
      <c r="Q222" s="30">
        <f t="shared" si="16"/>
        <v>1.765223173111985E-2</v>
      </c>
      <c r="R222" s="30">
        <f t="shared" si="16"/>
        <v>1.4289929604181628E-2</v>
      </c>
      <c r="S222" s="30">
        <f t="shared" si="16"/>
        <v>1.4130163743662161E-2</v>
      </c>
      <c r="T222" s="30">
        <f t="shared" si="16"/>
        <v>1.2560445865092973E-2</v>
      </c>
      <c r="U222" s="30">
        <f t="shared" si="16"/>
        <v>1.12511888621325E-2</v>
      </c>
      <c r="V222" s="30">
        <f t="shared" si="16"/>
        <v>8.9448302083123821E-3</v>
      </c>
      <c r="W222" s="30">
        <f t="shared" si="16"/>
        <v>6.4458548195160947E-3</v>
      </c>
      <c r="X222" s="30">
        <f t="shared" si="16"/>
        <v>6.9957631293724454E-3</v>
      </c>
      <c r="Y222" s="30">
        <f t="shared" si="16"/>
        <v>5.6555772994129061E-3</v>
      </c>
      <c r="Z222" s="30">
        <f t="shared" si="16"/>
        <v>1.459456303878337E-3</v>
      </c>
      <c r="AA222" s="30">
        <f t="shared" si="16"/>
        <v>-2.0985543292398878E-3</v>
      </c>
      <c r="AB222" s="30">
        <f t="shared" si="16"/>
        <v>-2.4145182646623242E-3</v>
      </c>
      <c r="AC222" s="30">
        <f t="shared" si="16"/>
        <v>-6.0313866333541188E-3</v>
      </c>
      <c r="AD222" s="30">
        <f t="shared" si="16"/>
        <v>-6.8338471810380774E-3</v>
      </c>
      <c r="AE222" s="30">
        <f t="shared" si="16"/>
        <v>-2.5902125556104272E-3</v>
      </c>
      <c r="AF222" s="30">
        <f t="shared" si="16"/>
        <v>-3.7665530092778621E-4</v>
      </c>
      <c r="AG222" s="30">
        <f t="shared" si="16"/>
        <v>-1.3882002974718866E-4</v>
      </c>
      <c r="AH222" s="30">
        <f t="shared" si="16"/>
        <v>1.2892221032170248E-3</v>
      </c>
      <c r="AI222" s="30">
        <f t="shared" si="16"/>
        <v>1.0498583681635143E-3</v>
      </c>
      <c r="AJ222" s="30">
        <f t="shared" si="16"/>
        <v>-2.9681810986226242E-4</v>
      </c>
      <c r="AK222" s="30">
        <f t="shared" si="16"/>
        <v>-6.3339997228872846E-4</v>
      </c>
      <c r="AL222" s="30">
        <f t="shared" si="16"/>
        <v>-7.5263918873413882E-4</v>
      </c>
      <c r="AM222" s="30">
        <f t="shared" si="16"/>
        <v>-3.052466749915772E-3</v>
      </c>
      <c r="AN222" s="30">
        <f t="shared" si="16"/>
        <v>-1.4911426128795258E-3</v>
      </c>
      <c r="AO222" s="30">
        <f t="shared" si="16"/>
        <v>1.4933694396876973E-3</v>
      </c>
      <c r="AP222" s="30">
        <f t="shared" si="16"/>
        <v>2.6045290971627999E-3</v>
      </c>
      <c r="AQ222" s="30">
        <f t="shared" si="16"/>
        <v>2.1020068216071053E-3</v>
      </c>
      <c r="AR222" s="30">
        <f t="shared" si="16"/>
        <v>3.0672418569674953E-3</v>
      </c>
      <c r="AS222" s="30">
        <f t="shared" si="16"/>
        <v>2.1700960760717702E-3</v>
      </c>
      <c r="AT222" s="30">
        <f t="shared" si="16"/>
        <v>2.1653969566326481E-4</v>
      </c>
      <c r="AU222" s="30">
        <f t="shared" si="16"/>
        <v>-1.6728990356229545E-3</v>
      </c>
      <c r="AV222" s="30">
        <f t="shared" si="16"/>
        <v>-4.7313947757521291E-4</v>
      </c>
      <c r="AW222" s="30">
        <f t="shared" si="16"/>
        <v>-1.637048578923439E-3</v>
      </c>
      <c r="AX222" s="30">
        <f t="shared" si="16"/>
        <v>-2.1731399897273462E-4</v>
      </c>
      <c r="AY222" s="30">
        <f t="shared" si="16"/>
        <v>1.0472859485841646E-3</v>
      </c>
      <c r="AZ222" s="30">
        <f t="shared" si="16"/>
        <v>2.3095144097906584E-3</v>
      </c>
      <c r="BA222" s="30">
        <f t="shared" si="16"/>
        <v>4.1948126120092688E-3</v>
      </c>
      <c r="BB222" s="30">
        <f t="shared" si="16"/>
        <v>4.6675818787997869E-3</v>
      </c>
      <c r="BC222" s="30">
        <f t="shared" si="16"/>
        <v>3.6893886156008637E-3</v>
      </c>
      <c r="BD222" s="30">
        <f t="shared" si="16"/>
        <v>2.9367718847852498E-3</v>
      </c>
      <c r="BE222" s="30">
        <f t="shared" si="16"/>
        <v>2.268848898541842E-3</v>
      </c>
      <c r="BF222" s="30">
        <f t="shared" si="16"/>
        <v>1.6252297571830443E-3</v>
      </c>
      <c r="BG222" s="30">
        <f t="shared" si="16"/>
        <v>1.0044621298459511E-3</v>
      </c>
      <c r="BH222" s="30">
        <f t="shared" si="16"/>
        <v>5.0172709905260682E-4</v>
      </c>
      <c r="BI222" s="30">
        <f t="shared" si="16"/>
        <v>1.1572511427848653E-4</v>
      </c>
      <c r="BJ222" s="30">
        <f t="shared" si="16"/>
        <v>-1.5428229803482463E-4</v>
      </c>
      <c r="BK222" s="30">
        <f t="shared" si="16"/>
        <v>-3.8576526183820015E-4</v>
      </c>
      <c r="BL222" s="30">
        <f t="shared" si="16"/>
        <v>-4.6309696092616814E-4</v>
      </c>
      <c r="BM222" s="30">
        <f t="shared" si="16"/>
        <v>-5.2122545896793326E-4</v>
      </c>
      <c r="BN222" s="30">
        <f t="shared" si="16"/>
        <v>-5.2149727662531564E-4</v>
      </c>
      <c r="BO222" s="30">
        <f t="shared" si="16"/>
        <v>-4.0582062728278245E-4</v>
      </c>
    </row>
    <row r="223" spans="1:67" x14ac:dyDescent="0.2">
      <c r="C223" s="3" t="s">
        <v>475</v>
      </c>
      <c r="F223" s="30">
        <f>SUM(F$50:F$59)/SUM(E$50:E$59)-1</f>
        <v>9.9817105303945386E-3</v>
      </c>
      <c r="G223" s="30">
        <f t="shared" ref="G223:BO223" si="17">SUM(G$50:G$59)/SUM(F$50:F$59)-1</f>
        <v>7.3048709370491238E-3</v>
      </c>
      <c r="H223" s="30">
        <f t="shared" si="17"/>
        <v>5.2713367256771448E-3</v>
      </c>
      <c r="I223" s="30">
        <f t="shared" si="17"/>
        <v>4.1828322017458675E-3</v>
      </c>
      <c r="J223" s="30">
        <f t="shared" si="17"/>
        <v>1.0866284334440923E-3</v>
      </c>
      <c r="K223" s="30">
        <f t="shared" si="17"/>
        <v>-4.0101308569016059E-3</v>
      </c>
      <c r="L223" s="30">
        <f t="shared" si="17"/>
        <v>-6.1453697817334119E-3</v>
      </c>
      <c r="M223" s="30">
        <f t="shared" si="17"/>
        <v>-5.1781906792567334E-3</v>
      </c>
      <c r="N223" s="30">
        <f t="shared" si="17"/>
        <v>-1.837109614207022E-3</v>
      </c>
      <c r="O223" s="30">
        <f t="shared" si="17"/>
        <v>-8.0061349693251183E-3</v>
      </c>
      <c r="P223" s="30">
        <f t="shared" si="17"/>
        <v>-1.255450075759923E-2</v>
      </c>
      <c r="Q223" s="30">
        <f t="shared" si="17"/>
        <v>-1.4279898537563063E-2</v>
      </c>
      <c r="R223" s="30">
        <f t="shared" si="17"/>
        <v>-1.3311306668361E-2</v>
      </c>
      <c r="S223" s="30">
        <f t="shared" si="17"/>
        <v>-1.3362096722261629E-2</v>
      </c>
      <c r="T223" s="30">
        <f t="shared" si="17"/>
        <v>-1.6773814574291057E-2</v>
      </c>
      <c r="U223" s="30">
        <f t="shared" si="17"/>
        <v>-1.2479670749112159E-2</v>
      </c>
      <c r="V223" s="30">
        <f t="shared" si="17"/>
        <v>-6.6884011696299872E-3</v>
      </c>
      <c r="W223" s="30">
        <f t="shared" si="17"/>
        <v>-1.8271638356905928E-3</v>
      </c>
      <c r="X223" s="30">
        <f t="shared" si="17"/>
        <v>4.4745762711864145E-3</v>
      </c>
      <c r="Y223" s="30">
        <f t="shared" si="17"/>
        <v>1.0225431965442677E-2</v>
      </c>
      <c r="Z223" s="30">
        <f t="shared" si="17"/>
        <v>1.3228662101219202E-2</v>
      </c>
      <c r="AA223" s="30">
        <f t="shared" si="17"/>
        <v>1.9188289209060017E-2</v>
      </c>
      <c r="AB223" s="30">
        <f t="shared" si="17"/>
        <v>1.8374146799081226E-2</v>
      </c>
      <c r="AC223" s="30">
        <f t="shared" si="17"/>
        <v>2.3220355134843329E-2</v>
      </c>
      <c r="AD223" s="30">
        <f t="shared" si="17"/>
        <v>2.5642617658015565E-2</v>
      </c>
      <c r="AE223" s="30">
        <f t="shared" si="17"/>
        <v>2.0158605242448058E-2</v>
      </c>
      <c r="AF223" s="30">
        <f t="shared" si="17"/>
        <v>1.7802041300735816E-2</v>
      </c>
      <c r="AG223" s="30">
        <f t="shared" si="17"/>
        <v>1.4925373134328401E-2</v>
      </c>
      <c r="AH223" s="30">
        <f t="shared" si="17"/>
        <v>1.318359375E-2</v>
      </c>
      <c r="AI223" s="30">
        <f t="shared" si="17"/>
        <v>1.051736357193489E-2</v>
      </c>
      <c r="AJ223" s="30">
        <f t="shared" si="17"/>
        <v>8.1355551815069926E-3</v>
      </c>
      <c r="AK223" s="30">
        <f t="shared" si="17"/>
        <v>2.532279608192356E-3</v>
      </c>
      <c r="AL223" s="30">
        <f t="shared" si="17"/>
        <v>-2.0262580842146383E-3</v>
      </c>
      <c r="AM223" s="30">
        <f t="shared" si="17"/>
        <v>-3.9494910162986008E-3</v>
      </c>
      <c r="AN223" s="30">
        <f t="shared" si="17"/>
        <v>-8.0699206969730986E-3</v>
      </c>
      <c r="AO223" s="30">
        <f t="shared" si="17"/>
        <v>-8.8393435239141338E-3</v>
      </c>
      <c r="AP223" s="30">
        <f t="shared" si="17"/>
        <v>-9.7418273736828986E-3</v>
      </c>
      <c r="AQ223" s="30">
        <f t="shared" si="17"/>
        <v>-6.5393219755636167E-3</v>
      </c>
      <c r="AR223" s="30">
        <f t="shared" si="17"/>
        <v>-7.3329868930076536E-3</v>
      </c>
      <c r="AS223" s="30">
        <f t="shared" si="17"/>
        <v>-3.8680781758957394E-3</v>
      </c>
      <c r="AT223" s="30">
        <f t="shared" si="17"/>
        <v>-5.547283290998628E-4</v>
      </c>
      <c r="AU223" s="30">
        <f t="shared" si="17"/>
        <v>4.0313157279738832E-3</v>
      </c>
      <c r="AV223" s="30">
        <f t="shared" si="17"/>
        <v>5.3244108233925225E-3</v>
      </c>
      <c r="AW223" s="30">
        <f t="shared" si="17"/>
        <v>4.8620959106300266E-3</v>
      </c>
      <c r="AX223" s="30">
        <f t="shared" si="17"/>
        <v>3.9745399038046969E-3</v>
      </c>
      <c r="AY223" s="30">
        <f t="shared" si="17"/>
        <v>5.6226512521873051E-3</v>
      </c>
      <c r="AZ223" s="30">
        <f t="shared" si="17"/>
        <v>4.6783625730995038E-3</v>
      </c>
      <c r="BA223" s="30">
        <f t="shared" si="17"/>
        <v>3.6911894148050628E-4</v>
      </c>
      <c r="BB223" s="30">
        <f t="shared" si="17"/>
        <v>2.2706630336055689E-4</v>
      </c>
      <c r="BC223" s="30">
        <f t="shared" si="17"/>
        <v>-5.9591373439271678E-4</v>
      </c>
      <c r="BD223" s="30">
        <f t="shared" si="17"/>
        <v>-3.0097390613020858E-3</v>
      </c>
      <c r="BE223" s="30">
        <f t="shared" si="17"/>
        <v>-5.4111013015122333E-3</v>
      </c>
      <c r="BF223" s="30">
        <f t="shared" si="17"/>
        <v>-3.3788620679781056E-3</v>
      </c>
      <c r="BG223" s="30">
        <f t="shared" si="17"/>
        <v>-4.7694296796437774E-3</v>
      </c>
      <c r="BH223" s="30">
        <f t="shared" si="17"/>
        <v>-2.1651895262565501E-3</v>
      </c>
      <c r="BI223" s="30">
        <f t="shared" si="17"/>
        <v>1.7359101955793932E-4</v>
      </c>
      <c r="BJ223" s="30">
        <f t="shared" si="17"/>
        <v>2.4009256580850291E-3</v>
      </c>
      <c r="BK223" s="30">
        <f t="shared" si="17"/>
        <v>5.6560759530199789E-3</v>
      </c>
      <c r="BL223" s="30">
        <f t="shared" si="17"/>
        <v>6.7146833481592783E-3</v>
      </c>
      <c r="BM223" s="30">
        <f t="shared" si="17"/>
        <v>5.7862782544251257E-3</v>
      </c>
      <c r="BN223" s="30">
        <f t="shared" si="17"/>
        <v>4.9594740123561909E-3</v>
      </c>
      <c r="BO223" s="30">
        <f t="shared" si="17"/>
        <v>4.2017991596401405E-3</v>
      </c>
    </row>
    <row r="224" spans="1:67" x14ac:dyDescent="0.2">
      <c r="C224" s="3" t="s">
        <v>476</v>
      </c>
      <c r="F224" s="30">
        <f>SUM(F$60:F$85)/SUM(E$60:E$85)-1</f>
        <v>2.7141813009896598E-2</v>
      </c>
      <c r="G224" s="30">
        <f t="shared" ref="G224:BO224" si="18">SUM(G$60:G$85)/SUM(F$60:F$85)-1</f>
        <v>2.8213166144200663E-2</v>
      </c>
      <c r="H224" s="30">
        <f t="shared" si="18"/>
        <v>3.0338171479874276E-2</v>
      </c>
      <c r="I224" s="30">
        <f t="shared" si="18"/>
        <v>3.1623279962240902E-2</v>
      </c>
      <c r="J224" s="30">
        <f t="shared" si="18"/>
        <v>3.2255226296895811E-2</v>
      </c>
      <c r="K224" s="30">
        <f t="shared" si="18"/>
        <v>3.1417807401851405E-2</v>
      </c>
      <c r="L224" s="30">
        <f t="shared" si="18"/>
        <v>2.9865793997090995E-2</v>
      </c>
      <c r="M224" s="30">
        <f t="shared" si="18"/>
        <v>2.8341705316878185E-2</v>
      </c>
      <c r="N224" s="30">
        <f t="shared" si="18"/>
        <v>2.657739906674772E-2</v>
      </c>
      <c r="O224" s="30">
        <f t="shared" si="18"/>
        <v>2.2119185162663424E-2</v>
      </c>
      <c r="P224" s="30">
        <f t="shared" si="18"/>
        <v>1.890384472373019E-2</v>
      </c>
      <c r="Q224" s="30">
        <f t="shared" si="18"/>
        <v>1.8392549557702864E-2</v>
      </c>
      <c r="R224" s="30">
        <f t="shared" si="18"/>
        <v>2.1070435455666114E-2</v>
      </c>
      <c r="S224" s="30">
        <f t="shared" si="18"/>
        <v>1.8122859228479893E-2</v>
      </c>
      <c r="T224" s="30">
        <f t="shared" si="18"/>
        <v>1.7965723110014098E-2</v>
      </c>
      <c r="U224" s="30">
        <f t="shared" si="18"/>
        <v>1.5508600839767128E-2</v>
      </c>
      <c r="V224" s="30">
        <f t="shared" si="18"/>
        <v>9.3097699233077869E-3</v>
      </c>
      <c r="W224" s="30">
        <f t="shared" si="18"/>
        <v>7.6381272052119531E-3</v>
      </c>
      <c r="X224" s="30">
        <f t="shared" si="18"/>
        <v>6.3474577382591768E-3</v>
      </c>
      <c r="Y224" s="30">
        <f t="shared" si="18"/>
        <v>3.7271127907734236E-3</v>
      </c>
      <c r="Z224" s="30">
        <f t="shared" si="18"/>
        <v>3.8431077238674227E-3</v>
      </c>
      <c r="AA224" s="30">
        <f t="shared" si="18"/>
        <v>2.7160908985086607E-3</v>
      </c>
      <c r="AB224" s="30">
        <f t="shared" si="18"/>
        <v>3.2504804777691021E-3</v>
      </c>
      <c r="AC224" s="30">
        <f t="shared" si="18"/>
        <v>2.0313966494811542E-3</v>
      </c>
      <c r="AD224" s="30">
        <f t="shared" si="18"/>
        <v>1.5140433940232789E-3</v>
      </c>
      <c r="AE224" s="30">
        <f t="shared" si="18"/>
        <v>1.447697136634396E-3</v>
      </c>
      <c r="AF224" s="30">
        <f t="shared" si="18"/>
        <v>1.4072254631050107E-3</v>
      </c>
      <c r="AG224" s="30">
        <f t="shared" si="18"/>
        <v>1.3030481105802405E-3</v>
      </c>
      <c r="AH224" s="30">
        <f t="shared" si="18"/>
        <v>4.7205919877524316E-4</v>
      </c>
      <c r="AI224" s="30">
        <f t="shared" si="18"/>
        <v>3.4431309537463761E-4</v>
      </c>
      <c r="AJ224" s="30">
        <f t="shared" si="18"/>
        <v>-1.0198358064350543E-4</v>
      </c>
      <c r="AK224" s="30">
        <f t="shared" si="18"/>
        <v>1.1219338059054174E-3</v>
      </c>
      <c r="AL224" s="30">
        <f t="shared" si="18"/>
        <v>1.8465692017726187E-3</v>
      </c>
      <c r="AM224" s="30">
        <f t="shared" si="18"/>
        <v>4.7668077641764839E-3</v>
      </c>
      <c r="AN224" s="30">
        <f t="shared" si="18"/>
        <v>7.4768483376348449E-3</v>
      </c>
      <c r="AO224" s="30">
        <f t="shared" si="18"/>
        <v>6.5549067621020196E-3</v>
      </c>
      <c r="AP224" s="30">
        <f t="shared" si="18"/>
        <v>5.913394962386409E-3</v>
      </c>
      <c r="AQ224" s="30">
        <f t="shared" si="18"/>
        <v>4.8864580620358034E-3</v>
      </c>
      <c r="AR224" s="30">
        <f t="shared" si="18"/>
        <v>4.3813637766121349E-3</v>
      </c>
      <c r="AS224" s="30">
        <f t="shared" si="18"/>
        <v>3.6618333742934883E-3</v>
      </c>
      <c r="AT224" s="30">
        <f t="shared" si="18"/>
        <v>2.4976125762139478E-3</v>
      </c>
      <c r="AU224" s="30">
        <f t="shared" si="18"/>
        <v>2.7112185828386259E-3</v>
      </c>
      <c r="AV224" s="30">
        <f t="shared" si="18"/>
        <v>2.8744031959466732E-3</v>
      </c>
      <c r="AW224" s="30">
        <f t="shared" si="18"/>
        <v>5.2586835074082128E-3</v>
      </c>
      <c r="AX224" s="30">
        <f t="shared" si="18"/>
        <v>6.0768608121004597E-3</v>
      </c>
      <c r="AY224" s="30">
        <f t="shared" si="18"/>
        <v>6.196263028964033E-3</v>
      </c>
      <c r="AZ224" s="30">
        <f t="shared" si="18"/>
        <v>5.7881420660683691E-3</v>
      </c>
      <c r="BA224" s="30">
        <f t="shared" si="18"/>
        <v>6.704082964509972E-3</v>
      </c>
      <c r="BB224" s="30">
        <f t="shared" si="18"/>
        <v>5.3864831097805155E-3</v>
      </c>
      <c r="BC224" s="30">
        <f t="shared" si="18"/>
        <v>6.2134374377191826E-3</v>
      </c>
      <c r="BD224" s="30">
        <f t="shared" si="18"/>
        <v>7.3867806918408441E-3</v>
      </c>
      <c r="BE224" s="30">
        <f t="shared" si="18"/>
        <v>7.8993326625260707E-3</v>
      </c>
      <c r="BF224" s="30">
        <f t="shared" si="18"/>
        <v>6.494847726803199E-3</v>
      </c>
      <c r="BG224" s="30">
        <f t="shared" si="18"/>
        <v>7.057187157971434E-3</v>
      </c>
      <c r="BH224" s="30">
        <f t="shared" si="18"/>
        <v>5.558637397969024E-3</v>
      </c>
      <c r="BI224" s="30">
        <f t="shared" si="18"/>
        <v>4.5146472720722919E-3</v>
      </c>
      <c r="BJ224" s="30">
        <f t="shared" si="18"/>
        <v>2.8692153368525819E-3</v>
      </c>
      <c r="BK224" s="30">
        <f t="shared" si="18"/>
        <v>6.7054839683056144E-5</v>
      </c>
      <c r="BL224" s="30">
        <f t="shared" si="18"/>
        <v>-9.6105492540654591E-4</v>
      </c>
      <c r="BM224" s="30">
        <f t="shared" si="18"/>
        <v>-2.2595331043971933E-3</v>
      </c>
      <c r="BN224" s="30">
        <f t="shared" si="18"/>
        <v>-3.0157964953978489E-3</v>
      </c>
      <c r="BO224" s="30">
        <f t="shared" si="18"/>
        <v>-1.7317380352644962E-3</v>
      </c>
    </row>
    <row r="226" spans="1:67" x14ac:dyDescent="0.2">
      <c r="A226" s="2" t="s">
        <v>103</v>
      </c>
    </row>
    <row r="227" spans="1:67" x14ac:dyDescent="0.2">
      <c r="A227" s="2"/>
      <c r="C227" s="3" t="s">
        <v>473</v>
      </c>
      <c r="F227" s="30">
        <f>SUM(F$125:F$126)/SUM(E$125:E$126)-1</f>
        <v>1.7693620984013725E-2</v>
      </c>
      <c r="G227" s="30">
        <f t="shared" ref="G227:BO227" si="19">SUM(G$125:G$126)/SUM(F$125:F$126)-1</f>
        <v>-1.6775964617965489E-3</v>
      </c>
      <c r="H227" s="30">
        <f t="shared" si="19"/>
        <v>-1.8790100824931266E-2</v>
      </c>
      <c r="I227" s="30">
        <f t="shared" si="19"/>
        <v>-5.2934765685817009E-3</v>
      </c>
      <c r="J227" s="30">
        <f t="shared" si="19"/>
        <v>-1.7217091876663426E-3</v>
      </c>
      <c r="K227" s="30">
        <f t="shared" si="19"/>
        <v>8.153026026967769E-3</v>
      </c>
      <c r="L227" s="30">
        <f t="shared" si="19"/>
        <v>-3.4214618973561484E-3</v>
      </c>
      <c r="M227" s="30">
        <f t="shared" si="19"/>
        <v>-2.0287141073658255E-3</v>
      </c>
      <c r="N227" s="30">
        <f t="shared" si="19"/>
        <v>-7.8186082877251817E-4</v>
      </c>
      <c r="O227" s="30">
        <f t="shared" si="19"/>
        <v>6.8857589984350209E-3</v>
      </c>
      <c r="P227" s="30">
        <f t="shared" si="19"/>
        <v>-1.7096673919800853E-3</v>
      </c>
      <c r="Q227" s="30">
        <f t="shared" si="19"/>
        <v>-3.8144169391250204E-2</v>
      </c>
      <c r="R227" s="30">
        <f t="shared" si="19"/>
        <v>-2.2661055357720894E-2</v>
      </c>
      <c r="S227" s="30">
        <f t="shared" si="19"/>
        <v>1.1758860549850869E-2</v>
      </c>
      <c r="T227" s="30">
        <f t="shared" si="19"/>
        <v>4.0923228024225544E-3</v>
      </c>
      <c r="U227" s="30">
        <f t="shared" si="19"/>
        <v>3.0974894033257705E-3</v>
      </c>
      <c r="V227" s="30">
        <f t="shared" si="19"/>
        <v>3.2666991711360227E-2</v>
      </c>
      <c r="W227" s="30">
        <f t="shared" si="19"/>
        <v>4.406672961913749E-2</v>
      </c>
      <c r="X227" s="30">
        <f t="shared" si="19"/>
        <v>2.1857099788965995E-2</v>
      </c>
      <c r="Y227" s="30">
        <f t="shared" si="19"/>
        <v>4.4254314795693084E-3</v>
      </c>
      <c r="Z227" s="30">
        <f t="shared" si="19"/>
        <v>-1.2777206638272864E-2</v>
      </c>
      <c r="AA227" s="30">
        <f t="shared" si="19"/>
        <v>-2.2017256768818827E-2</v>
      </c>
      <c r="AB227" s="30">
        <f t="shared" si="19"/>
        <v>-1.6580468512321311E-2</v>
      </c>
      <c r="AC227" s="30">
        <f t="shared" si="19"/>
        <v>-2.05723124516628E-2</v>
      </c>
      <c r="AD227" s="30">
        <f t="shared" si="19"/>
        <v>-2.0372710044219811E-2</v>
      </c>
      <c r="AE227" s="30">
        <f t="shared" si="19"/>
        <v>-1.7733354828308734E-3</v>
      </c>
      <c r="AF227" s="30">
        <f t="shared" si="19"/>
        <v>1.1466408268733908E-2</v>
      </c>
      <c r="AG227" s="30">
        <f t="shared" si="19"/>
        <v>9.7397413380169162E-3</v>
      </c>
      <c r="AH227" s="30">
        <f t="shared" si="19"/>
        <v>9.013282732447836E-3</v>
      </c>
      <c r="AI227" s="30">
        <f t="shared" si="19"/>
        <v>8.6193386616517653E-3</v>
      </c>
      <c r="AJ227" s="30">
        <f t="shared" si="19"/>
        <v>7.9241765071473846E-3</v>
      </c>
      <c r="AK227" s="30">
        <f t="shared" si="19"/>
        <v>6.9369508247263401E-3</v>
      </c>
      <c r="AL227" s="30">
        <f t="shared" si="19"/>
        <v>5.9706062461726273E-3</v>
      </c>
      <c r="AM227" s="30">
        <f t="shared" si="19"/>
        <v>4.7176989803683345E-3</v>
      </c>
      <c r="AN227" s="30">
        <f t="shared" si="19"/>
        <v>3.6352620418054205E-3</v>
      </c>
      <c r="AO227" s="30">
        <f t="shared" si="19"/>
        <v>2.8674916993660649E-3</v>
      </c>
      <c r="AP227" s="30">
        <f t="shared" si="19"/>
        <v>1.655379984951022E-3</v>
      </c>
      <c r="AQ227" s="30">
        <f t="shared" si="19"/>
        <v>6.0096153846145306E-4</v>
      </c>
      <c r="AR227" s="30">
        <f t="shared" si="19"/>
        <v>-1.5015015015018562E-4</v>
      </c>
      <c r="AS227" s="30">
        <f t="shared" si="19"/>
        <v>-1.3515542874305009E-3</v>
      </c>
      <c r="AT227" s="30">
        <f t="shared" si="19"/>
        <v>-1.8045112781954753E-3</v>
      </c>
      <c r="AU227" s="30">
        <f t="shared" si="19"/>
        <v>-2.4103645676408769E-3</v>
      </c>
      <c r="AV227" s="30">
        <f t="shared" si="19"/>
        <v>-2.5672002416188278E-3</v>
      </c>
      <c r="AW227" s="30">
        <f t="shared" si="19"/>
        <v>-2.42240726722176E-3</v>
      </c>
      <c r="AX227" s="30">
        <f t="shared" si="19"/>
        <v>-1.9729852784944324E-3</v>
      </c>
      <c r="AY227" s="30">
        <f t="shared" si="19"/>
        <v>-1.2165450121655041E-3</v>
      </c>
      <c r="AZ227" s="30">
        <f t="shared" si="19"/>
        <v>-4.5676004872108322E-4</v>
      </c>
      <c r="BA227" s="30">
        <f t="shared" si="19"/>
        <v>1.5232292460010122E-4</v>
      </c>
      <c r="BB227" s="30">
        <f t="shared" si="19"/>
        <v>7.614986293025261E-4</v>
      </c>
      <c r="BC227" s="30">
        <f t="shared" si="19"/>
        <v>1.21747070461109E-3</v>
      </c>
      <c r="BD227" s="30">
        <f t="shared" si="19"/>
        <v>1.3679890560875929E-3</v>
      </c>
      <c r="BE227" s="30">
        <f t="shared" si="19"/>
        <v>1.366120218579292E-3</v>
      </c>
      <c r="BF227" s="30">
        <f t="shared" si="19"/>
        <v>1.2126724268606281E-3</v>
      </c>
      <c r="BG227" s="30">
        <f t="shared" si="19"/>
        <v>1.0598031794095686E-3</v>
      </c>
      <c r="BH227" s="30">
        <f t="shared" si="19"/>
        <v>7.5620084694505429E-4</v>
      </c>
      <c r="BI227" s="30">
        <f t="shared" si="19"/>
        <v>6.0450355145835744E-4</v>
      </c>
      <c r="BJ227" s="30">
        <f t="shared" si="19"/>
        <v>4.5310376076113101E-4</v>
      </c>
      <c r="BK227" s="30">
        <f t="shared" si="19"/>
        <v>4.5289855072461194E-4</v>
      </c>
      <c r="BL227" s="30">
        <f t="shared" si="19"/>
        <v>6.0359136864351903E-4</v>
      </c>
      <c r="BM227" s="30">
        <f t="shared" si="19"/>
        <v>7.5403408234042679E-4</v>
      </c>
      <c r="BN227" s="30">
        <f t="shared" si="19"/>
        <v>1.0548523206750371E-3</v>
      </c>
      <c r="BO227" s="30">
        <f t="shared" si="19"/>
        <v>1.3548095739877031E-3</v>
      </c>
    </row>
    <row r="228" spans="1:67" x14ac:dyDescent="0.2">
      <c r="C228" s="3" t="s">
        <v>448</v>
      </c>
      <c r="F228" s="30">
        <f>SUM(F$127:F$128)/SUM(E$127:E$128)-1</f>
        <v>1.2216973448444302E-2</v>
      </c>
      <c r="G228" s="30">
        <f t="shared" ref="G228:BO228" si="20">SUM(G$127:G$128)/SUM(F$127:F$128)-1</f>
        <v>1.2874155133569376E-2</v>
      </c>
      <c r="H228" s="30">
        <f t="shared" si="20"/>
        <v>2.6056561804893574E-2</v>
      </c>
      <c r="I228" s="30">
        <f t="shared" si="20"/>
        <v>9.2908021059150414E-3</v>
      </c>
      <c r="J228" s="30">
        <f t="shared" si="20"/>
        <v>-8.8984351027923125E-3</v>
      </c>
      <c r="K228" s="30">
        <f t="shared" si="20"/>
        <v>-5.7275541795666074E-3</v>
      </c>
      <c r="L228" s="30">
        <f t="shared" si="20"/>
        <v>3.4251907208469046E-3</v>
      </c>
      <c r="M228" s="30">
        <f t="shared" si="20"/>
        <v>2.8704422032583388E-2</v>
      </c>
      <c r="N228" s="30">
        <f t="shared" si="20"/>
        <v>1.2066365007541435E-2</v>
      </c>
      <c r="O228" s="30">
        <f t="shared" si="20"/>
        <v>-7.7496274217585537E-3</v>
      </c>
      <c r="P228" s="30">
        <f t="shared" si="20"/>
        <v>-1.7272454190447539E-2</v>
      </c>
      <c r="Q228" s="30">
        <f t="shared" si="20"/>
        <v>7.641754546843238E-4</v>
      </c>
      <c r="R228" s="30">
        <f t="shared" si="20"/>
        <v>-1.5271838729382647E-3</v>
      </c>
      <c r="S228" s="30">
        <f t="shared" si="20"/>
        <v>-3.7626185377791388E-2</v>
      </c>
      <c r="T228" s="30">
        <f t="shared" si="20"/>
        <v>-2.2091544818817588E-2</v>
      </c>
      <c r="U228" s="30">
        <f t="shared" si="20"/>
        <v>1.1539086624410944E-2</v>
      </c>
      <c r="V228" s="30">
        <f t="shared" si="20"/>
        <v>4.1773778920308757E-3</v>
      </c>
      <c r="W228" s="30">
        <f t="shared" si="20"/>
        <v>2.8799999999999937E-3</v>
      </c>
      <c r="X228" s="30">
        <f t="shared" si="20"/>
        <v>3.2227185705169026E-2</v>
      </c>
      <c r="Y228" s="30">
        <f t="shared" si="20"/>
        <v>4.3122102009273577E-2</v>
      </c>
      <c r="Z228" s="30">
        <f t="shared" si="20"/>
        <v>2.1781004593273146E-2</v>
      </c>
      <c r="AA228" s="30">
        <f t="shared" si="20"/>
        <v>4.0603248259860614E-3</v>
      </c>
      <c r="AB228" s="30">
        <f t="shared" si="20"/>
        <v>-1.2276140958983217E-2</v>
      </c>
      <c r="AC228" s="30">
        <f t="shared" si="20"/>
        <v>-2.1786810937271528E-2</v>
      </c>
      <c r="AD228" s="30">
        <f t="shared" si="20"/>
        <v>-1.6442451420029869E-2</v>
      </c>
      <c r="AE228" s="30">
        <f t="shared" si="20"/>
        <v>-2.0060790273556228E-2</v>
      </c>
      <c r="AF228" s="30">
        <f t="shared" si="20"/>
        <v>-1.9851116625310139E-2</v>
      </c>
      <c r="AG228" s="30">
        <f t="shared" si="20"/>
        <v>-1.8987341772152E-3</v>
      </c>
      <c r="AH228" s="30">
        <f t="shared" si="20"/>
        <v>1.1414077362079889E-2</v>
      </c>
      <c r="AI228" s="30">
        <f t="shared" si="20"/>
        <v>9.5611285266457013E-3</v>
      </c>
      <c r="AJ228" s="30">
        <f t="shared" si="20"/>
        <v>8.8495575221239076E-3</v>
      </c>
      <c r="AK228" s="30">
        <f t="shared" si="20"/>
        <v>8.4641428131733143E-3</v>
      </c>
      <c r="AL228" s="30">
        <f t="shared" si="20"/>
        <v>7.7826949488783992E-3</v>
      </c>
      <c r="AM228" s="30">
        <f t="shared" si="20"/>
        <v>6.814052089642697E-3</v>
      </c>
      <c r="AN228" s="30">
        <f t="shared" si="20"/>
        <v>5.865543690780628E-3</v>
      </c>
      <c r="AO228" s="30">
        <f t="shared" si="20"/>
        <v>4.6351674641147422E-3</v>
      </c>
      <c r="AP228" s="30">
        <f t="shared" si="20"/>
        <v>3.7207917844916949E-3</v>
      </c>
      <c r="AQ228" s="30">
        <f t="shared" si="20"/>
        <v>2.669039145907437E-3</v>
      </c>
      <c r="AR228" s="30">
        <f t="shared" si="20"/>
        <v>1.7746228926354135E-3</v>
      </c>
      <c r="AS228" s="30">
        <f t="shared" si="20"/>
        <v>5.90493061706443E-4</v>
      </c>
      <c r="AT228" s="30">
        <f t="shared" si="20"/>
        <v>-2.9507229271175106E-4</v>
      </c>
      <c r="AU228" s="30">
        <f t="shared" si="20"/>
        <v>-1.1806375442738881E-3</v>
      </c>
      <c r="AV228" s="30">
        <f t="shared" si="20"/>
        <v>-1.9208037825059199E-3</v>
      </c>
      <c r="AW228" s="30">
        <f t="shared" si="20"/>
        <v>-2.2205773501110526E-3</v>
      </c>
      <c r="AX228" s="30">
        <f t="shared" si="20"/>
        <v>-2.5222551928782977E-3</v>
      </c>
      <c r="AY228" s="30">
        <f t="shared" si="20"/>
        <v>-2.3798899300907506E-3</v>
      </c>
      <c r="AZ228" s="30">
        <f t="shared" si="20"/>
        <v>-1.938273445653782E-3</v>
      </c>
      <c r="BA228" s="30">
        <f t="shared" si="20"/>
        <v>-1.0457125784284482E-3</v>
      </c>
      <c r="BB228" s="30">
        <f t="shared" si="20"/>
        <v>-5.9817556452823606E-4</v>
      </c>
      <c r="BC228" s="30">
        <f t="shared" si="20"/>
        <v>2.9926679634884046E-4</v>
      </c>
      <c r="BD228" s="30">
        <f t="shared" si="20"/>
        <v>5.9835452505607734E-4</v>
      </c>
      <c r="BE228" s="30">
        <f t="shared" si="20"/>
        <v>1.3454925997906653E-3</v>
      </c>
      <c r="BF228" s="30">
        <f t="shared" si="20"/>
        <v>1.1943863839951607E-3</v>
      </c>
      <c r="BG228" s="30">
        <f t="shared" si="20"/>
        <v>1.4912019087385264E-3</v>
      </c>
      <c r="BH228" s="30">
        <f t="shared" si="20"/>
        <v>1.1911852293031711E-3</v>
      </c>
      <c r="BI228" s="30">
        <f t="shared" si="20"/>
        <v>1.0410469958357371E-3</v>
      </c>
      <c r="BJ228" s="30">
        <f t="shared" si="20"/>
        <v>7.4283167434252562E-4</v>
      </c>
      <c r="BK228" s="30">
        <f t="shared" si="20"/>
        <v>7.422802850356458E-4</v>
      </c>
      <c r="BL228" s="30">
        <f t="shared" si="20"/>
        <v>2.9669188547698511E-4</v>
      </c>
      <c r="BM228" s="30">
        <f t="shared" si="20"/>
        <v>5.9320777102178646E-4</v>
      </c>
      <c r="BN228" s="30">
        <f t="shared" si="20"/>
        <v>4.4464206313921117E-4</v>
      </c>
      <c r="BO228" s="30">
        <f t="shared" si="20"/>
        <v>7.407407407407085E-4</v>
      </c>
    </row>
    <row r="229" spans="1:67" x14ac:dyDescent="0.2">
      <c r="C229" s="3" t="s">
        <v>155</v>
      </c>
      <c r="F229" s="30">
        <f>SUM(F$129:F$133)/SUM(E$129:E$133)-1</f>
        <v>-8.2276311278710601E-3</v>
      </c>
      <c r="G229" s="30">
        <f t="shared" ref="G229:BO229" si="21">SUM(G$129:G$133)/SUM(F$129:F$133)-1</f>
        <v>-1.7974421016245801E-3</v>
      </c>
      <c r="H229" s="30">
        <f t="shared" si="21"/>
        <v>1.5444282845072266E-2</v>
      </c>
      <c r="I229" s="30">
        <f t="shared" si="21"/>
        <v>2.612194789251121E-2</v>
      </c>
      <c r="J229" s="30">
        <f t="shared" si="21"/>
        <v>2.6786307743436266E-2</v>
      </c>
      <c r="K229" s="30">
        <f t="shared" si="21"/>
        <v>1.2105126877265615E-2</v>
      </c>
      <c r="L229" s="30">
        <f t="shared" si="21"/>
        <v>1.8164374800127892E-2</v>
      </c>
      <c r="M229" s="30">
        <f t="shared" si="21"/>
        <v>4.4789245555625357E-2</v>
      </c>
      <c r="N229" s="30">
        <f t="shared" si="21"/>
        <v>4.2388167388167419E-2</v>
      </c>
      <c r="O229" s="30">
        <f t="shared" si="21"/>
        <v>1.5631308761608231E-2</v>
      </c>
      <c r="P229" s="30">
        <f t="shared" si="21"/>
        <v>-4.0890504316219989E-3</v>
      </c>
      <c r="Q229" s="30">
        <f t="shared" si="21"/>
        <v>-7.8695255474452441E-3</v>
      </c>
      <c r="R229" s="30">
        <f t="shared" si="21"/>
        <v>-1.0748361880675961E-2</v>
      </c>
      <c r="S229" s="30">
        <f t="shared" si="21"/>
        <v>-7.8438208122711961E-3</v>
      </c>
      <c r="T229" s="30">
        <f t="shared" si="21"/>
        <v>-1.2883579292574332E-2</v>
      </c>
      <c r="U229" s="30">
        <f t="shared" si="21"/>
        <v>-1.6729947793070687E-2</v>
      </c>
      <c r="V229" s="30">
        <f t="shared" si="21"/>
        <v>-1.3394473271388874E-2</v>
      </c>
      <c r="W229" s="30">
        <f t="shared" si="21"/>
        <v>-5.8708414872798986E-3</v>
      </c>
      <c r="X229" s="30">
        <f t="shared" si="21"/>
        <v>-1.2241633858267709E-2</v>
      </c>
      <c r="Y229" s="30">
        <f t="shared" si="21"/>
        <v>-4.2349131220028591E-3</v>
      </c>
      <c r="Z229" s="30">
        <f t="shared" si="21"/>
        <v>1.5323034586278039E-2</v>
      </c>
      <c r="AA229" s="30">
        <f t="shared" si="21"/>
        <v>2.1682887766416137E-2</v>
      </c>
      <c r="AB229" s="30">
        <f t="shared" si="21"/>
        <v>1.92933799590016E-2</v>
      </c>
      <c r="AC229" s="30">
        <f t="shared" si="21"/>
        <v>2.1057612681887994E-2</v>
      </c>
      <c r="AD229" s="30">
        <f t="shared" si="21"/>
        <v>1.2397172981114535E-2</v>
      </c>
      <c r="AE229" s="30">
        <f t="shared" si="21"/>
        <v>3.4332799267566827E-4</v>
      </c>
      <c r="AF229" s="30">
        <f t="shared" si="21"/>
        <v>-9.9530946116005437E-3</v>
      </c>
      <c r="AG229" s="30">
        <f t="shared" si="21"/>
        <v>-1.5715276172868053E-2</v>
      </c>
      <c r="AH229" s="30">
        <f t="shared" si="21"/>
        <v>-1.9312045081004925E-2</v>
      </c>
      <c r="AI229" s="30">
        <f t="shared" si="21"/>
        <v>-1.1851319806069349E-2</v>
      </c>
      <c r="AJ229" s="30">
        <f t="shared" si="21"/>
        <v>-6.6630322854200896E-3</v>
      </c>
      <c r="AK229" s="30">
        <f t="shared" si="21"/>
        <v>-1.6464418562107674E-3</v>
      </c>
      <c r="AL229" s="30">
        <f t="shared" si="21"/>
        <v>4.8253115074516906E-3</v>
      </c>
      <c r="AM229" s="30">
        <f t="shared" si="21"/>
        <v>9.4219196401434946E-3</v>
      </c>
      <c r="AN229" s="30">
        <f t="shared" si="21"/>
        <v>8.4306877032398475E-3</v>
      </c>
      <c r="AO229" s="30">
        <f t="shared" si="21"/>
        <v>7.6436163860025275E-3</v>
      </c>
      <c r="AP229" s="30">
        <f t="shared" si="21"/>
        <v>7.0522697641342003E-3</v>
      </c>
      <c r="AQ229" s="30">
        <f t="shared" si="21"/>
        <v>6.1790148884834917E-3</v>
      </c>
      <c r="AR229" s="30">
        <f t="shared" si="21"/>
        <v>5.0883144227396038E-3</v>
      </c>
      <c r="AS229" s="30">
        <f t="shared" si="21"/>
        <v>4.1897003200466187E-3</v>
      </c>
      <c r="AT229" s="30">
        <f t="shared" si="21"/>
        <v>3.1291649765312624E-3</v>
      </c>
      <c r="AU229" s="30">
        <f t="shared" si="21"/>
        <v>2.1373693027555429E-3</v>
      </c>
      <c r="AV229" s="30">
        <f t="shared" si="21"/>
        <v>1.2105141803089303E-3</v>
      </c>
      <c r="AW229" s="30">
        <f t="shared" si="21"/>
        <v>2.3029535379115451E-4</v>
      </c>
      <c r="AX229" s="30">
        <f t="shared" si="21"/>
        <v>-5.7560582513094261E-4</v>
      </c>
      <c r="AY229" s="30">
        <f t="shared" si="21"/>
        <v>-1.2670621436388085E-3</v>
      </c>
      <c r="AZ229" s="30">
        <f t="shared" si="21"/>
        <v>-1.8453376391212029E-3</v>
      </c>
      <c r="BA229" s="30">
        <f t="shared" si="21"/>
        <v>-2.1376162689930034E-3</v>
      </c>
      <c r="BB229" s="30">
        <f t="shared" si="21"/>
        <v>-2.0264011116257752E-3</v>
      </c>
      <c r="BC229" s="30">
        <f t="shared" si="21"/>
        <v>-1.9725010152579214E-3</v>
      </c>
      <c r="BD229" s="30">
        <f t="shared" si="21"/>
        <v>-1.3369761088182219E-3</v>
      </c>
      <c r="BE229" s="30">
        <f t="shared" si="21"/>
        <v>-6.9848661233995468E-4</v>
      </c>
      <c r="BF229" s="30">
        <f t="shared" si="21"/>
        <v>-2.3299161230194709E-4</v>
      </c>
      <c r="BG229" s="30">
        <f t="shared" si="21"/>
        <v>4.078303425774088E-4</v>
      </c>
      <c r="BH229" s="30">
        <f t="shared" si="21"/>
        <v>8.1532816958818088E-4</v>
      </c>
      <c r="BI229" s="30">
        <f t="shared" si="21"/>
        <v>1.1638056444573941E-3</v>
      </c>
      <c r="BJ229" s="30">
        <f t="shared" si="21"/>
        <v>1.1624527753559821E-3</v>
      </c>
      <c r="BK229" s="30">
        <f t="shared" si="21"/>
        <v>1.2772133526850471E-3</v>
      </c>
      <c r="BL229" s="30">
        <f t="shared" si="21"/>
        <v>1.101640865077913E-3</v>
      </c>
      <c r="BM229" s="30">
        <f t="shared" si="21"/>
        <v>8.687594115603936E-4</v>
      </c>
      <c r="BN229" s="30">
        <f t="shared" si="21"/>
        <v>7.5227128059718318E-4</v>
      </c>
      <c r="BO229" s="30">
        <f t="shared" si="21"/>
        <v>5.7823522608990707E-4</v>
      </c>
    </row>
    <row r="230" spans="1:67" x14ac:dyDescent="0.2">
      <c r="C230" s="3" t="s">
        <v>156</v>
      </c>
      <c r="F230" s="30">
        <f>SUM(F$134:F$138)/SUM(E$134:E$138)-1</f>
        <v>1.7352894778356109E-2</v>
      </c>
      <c r="G230" s="30">
        <f t="shared" ref="G230:BO230" si="22">SUM(G$134:G$138)/SUM(F$134:F$138)-1</f>
        <v>1.6746782446890984E-2</v>
      </c>
      <c r="H230" s="30">
        <f t="shared" si="22"/>
        <v>1.5784657617813114E-2</v>
      </c>
      <c r="I230" s="30">
        <f t="shared" si="22"/>
        <v>9.6088882216049942E-3</v>
      </c>
      <c r="J230" s="30">
        <f t="shared" si="22"/>
        <v>-3.0485537958212516E-3</v>
      </c>
      <c r="K230" s="30">
        <f t="shared" si="22"/>
        <v>-9.695704057278709E-4</v>
      </c>
      <c r="L230" s="30">
        <f t="shared" si="22"/>
        <v>1.0302351623740158E-2</v>
      </c>
      <c r="M230" s="30">
        <f t="shared" si="22"/>
        <v>5.9558117195004812E-2</v>
      </c>
      <c r="N230" s="30">
        <f t="shared" si="22"/>
        <v>7.4203221982007017E-2</v>
      </c>
      <c r="O230" s="30">
        <f t="shared" si="22"/>
        <v>6.2585210673245406E-2</v>
      </c>
      <c r="P230" s="30">
        <f t="shared" si="22"/>
        <v>3.9103073257163778E-2</v>
      </c>
      <c r="Q230" s="30">
        <f t="shared" si="22"/>
        <v>3.0222849414946795E-2</v>
      </c>
      <c r="R230" s="30">
        <f t="shared" si="22"/>
        <v>1.752183094572235E-2</v>
      </c>
      <c r="S230" s="30">
        <f t="shared" si="22"/>
        <v>9.3111958716625143E-3</v>
      </c>
      <c r="T230" s="30">
        <f t="shared" si="22"/>
        <v>-5.5574080248921298E-5</v>
      </c>
      <c r="U230" s="30">
        <f t="shared" si="22"/>
        <v>-3.8348246540321762E-3</v>
      </c>
      <c r="V230" s="30">
        <f t="shared" si="22"/>
        <v>-7.6433831733987434E-3</v>
      </c>
      <c r="W230" s="30">
        <f t="shared" si="22"/>
        <v>-1.0400854556698702E-2</v>
      </c>
      <c r="X230" s="30">
        <f t="shared" si="22"/>
        <v>-7.6127712759913591E-3</v>
      </c>
      <c r="Y230" s="30">
        <f t="shared" si="22"/>
        <v>-1.2479963361575419E-2</v>
      </c>
      <c r="Z230" s="30">
        <f t="shared" si="22"/>
        <v>-1.6289855072463721E-2</v>
      </c>
      <c r="AA230" s="30">
        <f t="shared" si="22"/>
        <v>-1.2905887206081657E-2</v>
      </c>
      <c r="AB230" s="30">
        <f t="shared" si="22"/>
        <v>-5.6716417910447348E-3</v>
      </c>
      <c r="AC230" s="30">
        <f t="shared" si="22"/>
        <v>-1.1888321825277659E-2</v>
      </c>
      <c r="AD230" s="30">
        <f t="shared" si="22"/>
        <v>-3.9496870632557135E-3</v>
      </c>
      <c r="AE230" s="30">
        <f t="shared" si="22"/>
        <v>1.5068326012689148E-2</v>
      </c>
      <c r="AF230" s="30">
        <f t="shared" si="22"/>
        <v>2.0974818198209011E-2</v>
      </c>
      <c r="AG230" s="30">
        <f t="shared" si="22"/>
        <v>1.883682599481995E-2</v>
      </c>
      <c r="AH230" s="30">
        <f t="shared" si="22"/>
        <v>2.0452969724982673E-2</v>
      </c>
      <c r="AI230" s="30">
        <f t="shared" si="22"/>
        <v>1.2286264296229144E-2</v>
      </c>
      <c r="AJ230" s="30">
        <f t="shared" si="22"/>
        <v>3.3558923877174962E-4</v>
      </c>
      <c r="AK230" s="30">
        <f t="shared" si="22"/>
        <v>-9.6169974839250827E-3</v>
      </c>
      <c r="AL230" s="30">
        <f t="shared" si="22"/>
        <v>-1.5186586123186352E-2</v>
      </c>
      <c r="AM230" s="30">
        <f t="shared" si="22"/>
        <v>-1.8917679431323053E-2</v>
      </c>
      <c r="AN230" s="30">
        <f t="shared" si="22"/>
        <v>-1.1452611896692777E-2</v>
      </c>
      <c r="AO230" s="30">
        <f t="shared" si="22"/>
        <v>-6.4428419434920947E-3</v>
      </c>
      <c r="AP230" s="30">
        <f t="shared" si="22"/>
        <v>-1.5467904098994678E-3</v>
      </c>
      <c r="AQ230" s="30">
        <f t="shared" si="22"/>
        <v>4.6475600309836551E-3</v>
      </c>
      <c r="AR230" s="30">
        <f t="shared" si="22"/>
        <v>9.2521202775635025E-3</v>
      </c>
      <c r="AS230" s="30">
        <f t="shared" si="22"/>
        <v>8.3445965798907284E-3</v>
      </c>
      <c r="AT230" s="30">
        <f t="shared" si="22"/>
        <v>7.5179206247451003E-3</v>
      </c>
      <c r="AU230" s="30">
        <f t="shared" si="22"/>
        <v>6.8255437297546351E-3</v>
      </c>
      <c r="AV230" s="30">
        <f t="shared" si="22"/>
        <v>6.0898540733080875E-3</v>
      </c>
      <c r="AW230" s="30">
        <f t="shared" si="22"/>
        <v>5.0822293284604747E-3</v>
      </c>
      <c r="AX230" s="30">
        <f t="shared" si="22"/>
        <v>4.0338617124027198E-3</v>
      </c>
      <c r="AY230" s="30">
        <f t="shared" si="22"/>
        <v>3.1122679945676524E-3</v>
      </c>
      <c r="AZ230" s="30">
        <f t="shared" si="22"/>
        <v>2.143622722400762E-3</v>
      </c>
      <c r="BA230" s="30">
        <f t="shared" si="22"/>
        <v>1.2383900928791824E-3</v>
      </c>
      <c r="BB230" s="30">
        <f t="shared" si="22"/>
        <v>2.8110417720816905E-4</v>
      </c>
      <c r="BC230" s="30">
        <f t="shared" si="22"/>
        <v>-5.620503597122406E-4</v>
      </c>
      <c r="BD230" s="30">
        <f t="shared" si="22"/>
        <v>-1.2372061635361753E-3</v>
      </c>
      <c r="BE230" s="30">
        <f t="shared" si="22"/>
        <v>-1.7454954954955193E-3</v>
      </c>
      <c r="BF230" s="30">
        <f t="shared" si="22"/>
        <v>-2.0869761407862342E-3</v>
      </c>
      <c r="BG230" s="30">
        <f t="shared" si="22"/>
        <v>-1.9782952747003923E-3</v>
      </c>
      <c r="BH230" s="30">
        <f t="shared" si="22"/>
        <v>-1.75567763493234E-3</v>
      </c>
      <c r="BI230" s="30">
        <f t="shared" si="22"/>
        <v>-1.2481561329853452E-3</v>
      </c>
      <c r="BJ230" s="30">
        <f t="shared" si="22"/>
        <v>-7.3846852987957678E-4</v>
      </c>
      <c r="BK230" s="30">
        <f t="shared" si="22"/>
        <v>-2.2738900574159615E-4</v>
      </c>
      <c r="BL230" s="30">
        <f t="shared" si="22"/>
        <v>4.5488144652305884E-4</v>
      </c>
      <c r="BM230" s="30">
        <f t="shared" si="22"/>
        <v>9.0934924694519026E-4</v>
      </c>
      <c r="BN230" s="30">
        <f t="shared" si="22"/>
        <v>1.0220884674352337E-3</v>
      </c>
      <c r="BO230" s="30">
        <f t="shared" si="22"/>
        <v>1.2479437290826567E-3</v>
      </c>
    </row>
    <row r="231" spans="1:67" x14ac:dyDescent="0.2">
      <c r="C231" s="3" t="s">
        <v>157</v>
      </c>
      <c r="F231" s="30">
        <f>SUM(F$139:F$143)/SUM(E$139:E$143)-1</f>
        <v>-2.5381455399061004E-2</v>
      </c>
      <c r="G231" s="30">
        <f t="shared" ref="G231:BO231" si="23">SUM(G$139:G$143)/SUM(F$139:F$143)-1</f>
        <v>-2.2655426765015751E-2</v>
      </c>
      <c r="H231" s="30">
        <f t="shared" si="23"/>
        <v>-1.0627647285329278E-2</v>
      </c>
      <c r="I231" s="30">
        <f t="shared" si="23"/>
        <v>-4.6703510547209115E-3</v>
      </c>
      <c r="J231" s="30">
        <f t="shared" si="23"/>
        <v>1.9551106592632372E-3</v>
      </c>
      <c r="K231" s="30">
        <f t="shared" si="23"/>
        <v>-6.2441461130191556E-4</v>
      </c>
      <c r="L231" s="30">
        <f t="shared" si="23"/>
        <v>1.1480787253983049E-2</v>
      </c>
      <c r="M231" s="30">
        <f t="shared" si="23"/>
        <v>3.049957532236891E-2</v>
      </c>
      <c r="N231" s="30">
        <f t="shared" si="23"/>
        <v>3.4092612018582269E-2</v>
      </c>
      <c r="O231" s="30">
        <f t="shared" si="23"/>
        <v>2.9055865516991464E-2</v>
      </c>
      <c r="P231" s="30">
        <f t="shared" si="23"/>
        <v>2.7672158850866158E-2</v>
      </c>
      <c r="Q231" s="30">
        <f t="shared" si="23"/>
        <v>3.0489893799246381E-2</v>
      </c>
      <c r="R231" s="30">
        <f t="shared" si="23"/>
        <v>3.9561170212766061E-2</v>
      </c>
      <c r="S231" s="30">
        <f t="shared" si="23"/>
        <v>4.5922609529900793E-2</v>
      </c>
      <c r="T231" s="30">
        <f t="shared" si="23"/>
        <v>4.7575368433926402E-2</v>
      </c>
      <c r="U231" s="30">
        <f t="shared" si="23"/>
        <v>3.7242426011324437E-2</v>
      </c>
      <c r="V231" s="30">
        <f t="shared" si="23"/>
        <v>2.8870504811750797E-2</v>
      </c>
      <c r="W231" s="30">
        <f t="shared" si="23"/>
        <v>1.6847172081829065E-2</v>
      </c>
      <c r="X231" s="30">
        <f t="shared" si="23"/>
        <v>8.8757396449703485E-3</v>
      </c>
      <c r="Y231" s="30">
        <f t="shared" si="23"/>
        <v>5.3319114902583564E-5</v>
      </c>
      <c r="Z231" s="30">
        <f t="shared" si="23"/>
        <v>-3.625506504585152E-3</v>
      </c>
      <c r="AA231" s="30">
        <f t="shared" si="23"/>
        <v>-7.2238869863013866E-3</v>
      </c>
      <c r="AB231" s="30">
        <f t="shared" si="23"/>
        <v>-9.971433191397594E-3</v>
      </c>
      <c r="AC231" s="30">
        <f t="shared" si="23"/>
        <v>-7.131968641114983E-3</v>
      </c>
      <c r="AD231" s="30">
        <f t="shared" si="23"/>
        <v>-1.18988868783243E-2</v>
      </c>
      <c r="AE231" s="30">
        <f t="shared" si="23"/>
        <v>-1.5538290788013276E-2</v>
      </c>
      <c r="AF231" s="30">
        <f t="shared" si="23"/>
        <v>-1.223224351747465E-2</v>
      </c>
      <c r="AG231" s="30">
        <f t="shared" si="23"/>
        <v>-5.3073103920561193E-3</v>
      </c>
      <c r="AH231" s="30">
        <f t="shared" si="23"/>
        <v>-1.1302352266207683E-2</v>
      </c>
      <c r="AI231" s="30">
        <f t="shared" si="23"/>
        <v>-3.771833110891909E-3</v>
      </c>
      <c r="AJ231" s="30">
        <f t="shared" si="23"/>
        <v>1.4328984156570357E-2</v>
      </c>
      <c r="AK231" s="30">
        <f t="shared" si="23"/>
        <v>2.0156196164005991E-2</v>
      </c>
      <c r="AL231" s="30">
        <f t="shared" si="23"/>
        <v>1.8012946805516572E-2</v>
      </c>
      <c r="AM231" s="30">
        <f t="shared" si="23"/>
        <v>1.9518938346696046E-2</v>
      </c>
      <c r="AN231" s="30">
        <f t="shared" si="23"/>
        <v>1.1769172361427493E-2</v>
      </c>
      <c r="AO231" s="30">
        <f t="shared" si="23"/>
        <v>3.7523452157595116E-4</v>
      </c>
      <c r="AP231" s="30">
        <f t="shared" si="23"/>
        <v>-9.1094202121958512E-3</v>
      </c>
      <c r="AQ231" s="30">
        <f t="shared" si="23"/>
        <v>-1.4546831062080878E-2</v>
      </c>
      <c r="AR231" s="30">
        <f t="shared" si="23"/>
        <v>-1.7944356033583908E-2</v>
      </c>
      <c r="AS231" s="30">
        <f t="shared" si="23"/>
        <v>-1.0952168082252967E-2</v>
      </c>
      <c r="AT231" s="30">
        <f t="shared" si="23"/>
        <v>-6.1016949152542521E-3</v>
      </c>
      <c r="AU231" s="30">
        <f t="shared" si="23"/>
        <v>-1.421100500227368E-3</v>
      </c>
      <c r="AV231" s="30">
        <f t="shared" si="23"/>
        <v>4.4970683668241751E-3</v>
      </c>
      <c r="AW231" s="30">
        <f t="shared" si="23"/>
        <v>8.8972004986966891E-3</v>
      </c>
      <c r="AX231" s="30">
        <f t="shared" si="23"/>
        <v>7.9200134808738998E-3</v>
      </c>
      <c r="AY231" s="30">
        <f t="shared" si="23"/>
        <v>7.2447614801605109E-3</v>
      </c>
      <c r="AZ231" s="30">
        <f t="shared" si="23"/>
        <v>6.5287152816200233E-3</v>
      </c>
      <c r="BA231" s="30">
        <f t="shared" si="23"/>
        <v>5.8817062445031265E-3</v>
      </c>
      <c r="BB231" s="30">
        <f t="shared" si="23"/>
        <v>4.863653751571162E-3</v>
      </c>
      <c r="BC231" s="30">
        <f t="shared" si="23"/>
        <v>3.9155971285620428E-3</v>
      </c>
      <c r="BD231" s="30">
        <f t="shared" si="23"/>
        <v>2.9794149512458734E-3</v>
      </c>
      <c r="BE231" s="30">
        <f t="shared" si="23"/>
        <v>2.1064002160411377E-3</v>
      </c>
      <c r="BF231" s="30">
        <f t="shared" si="23"/>
        <v>1.1857281448743873E-3</v>
      </c>
      <c r="BG231" s="30">
        <f t="shared" si="23"/>
        <v>2.1533161068054696E-4</v>
      </c>
      <c r="BH231" s="30">
        <f t="shared" si="23"/>
        <v>-4.843918191603791E-4</v>
      </c>
      <c r="BI231" s="30">
        <f t="shared" si="23"/>
        <v>-1.1307953260459858E-3</v>
      </c>
      <c r="BJ231" s="30">
        <f t="shared" si="23"/>
        <v>-1.6172506738544312E-3</v>
      </c>
      <c r="BK231" s="30">
        <f t="shared" si="23"/>
        <v>-1.8898488120950852E-3</v>
      </c>
      <c r="BL231" s="30">
        <f t="shared" si="23"/>
        <v>-1.8934271030565109E-3</v>
      </c>
      <c r="BM231" s="30">
        <f t="shared" si="23"/>
        <v>-1.6802168021680108E-3</v>
      </c>
      <c r="BN231" s="30">
        <f t="shared" si="23"/>
        <v>-1.1944188066670414E-3</v>
      </c>
      <c r="BO231" s="30">
        <f t="shared" si="23"/>
        <v>-6.5228026308639109E-4</v>
      </c>
    </row>
    <row r="232" spans="1:67" x14ac:dyDescent="0.2">
      <c r="C232" s="3" t="s">
        <v>158</v>
      </c>
      <c r="F232" s="30">
        <f>SUM(F$144:F$148)/SUM(E$144:E$148)-1</f>
        <v>7.1074158508783736E-3</v>
      </c>
      <c r="G232" s="30">
        <f t="shared" ref="G232:BO232" si="24">SUM(G$144:G$148)/SUM(F$144:F$148)-1</f>
        <v>-5.5925432756325222E-3</v>
      </c>
      <c r="H232" s="30">
        <f t="shared" si="24"/>
        <v>-1.3256561328334193E-2</v>
      </c>
      <c r="I232" s="30">
        <f t="shared" si="24"/>
        <v>-1.9337766318360705E-2</v>
      </c>
      <c r="J232" s="30">
        <f t="shared" si="24"/>
        <v>-3.376461634262784E-2</v>
      </c>
      <c r="K232" s="30">
        <f t="shared" si="24"/>
        <v>-3.3297529538131032E-2</v>
      </c>
      <c r="L232" s="30">
        <f t="shared" si="24"/>
        <v>-2.5925925925925908E-2</v>
      </c>
      <c r="M232" s="30">
        <f t="shared" si="24"/>
        <v>-1.1558935361216771E-2</v>
      </c>
      <c r="N232" s="30">
        <f t="shared" si="24"/>
        <v>7.0780120018465453E-3</v>
      </c>
      <c r="O232" s="30">
        <f t="shared" si="24"/>
        <v>1.3368983957219305E-2</v>
      </c>
      <c r="P232" s="30">
        <f t="shared" si="24"/>
        <v>9.423294383716474E-3</v>
      </c>
      <c r="Q232" s="30">
        <f t="shared" si="24"/>
        <v>2.1135175504107595E-2</v>
      </c>
      <c r="R232" s="30">
        <f t="shared" si="24"/>
        <v>1.9454399180867332E-2</v>
      </c>
      <c r="S232" s="30">
        <f t="shared" si="24"/>
        <v>1.9226630317813242E-2</v>
      </c>
      <c r="T232" s="30">
        <f t="shared" si="24"/>
        <v>2.1397902442457983E-2</v>
      </c>
      <c r="U232" s="30">
        <f t="shared" si="24"/>
        <v>2.6945076149128333E-2</v>
      </c>
      <c r="V232" s="30">
        <f t="shared" si="24"/>
        <v>2.9861763521674911E-2</v>
      </c>
      <c r="W232" s="30">
        <f t="shared" si="24"/>
        <v>3.8574314198214665E-2</v>
      </c>
      <c r="X232" s="30">
        <f t="shared" si="24"/>
        <v>4.4984001505740556E-2</v>
      </c>
      <c r="Y232" s="30">
        <f t="shared" si="24"/>
        <v>4.6649855907781035E-2</v>
      </c>
      <c r="Z232" s="30">
        <f t="shared" si="24"/>
        <v>3.6425170653358485E-2</v>
      </c>
      <c r="AA232" s="30">
        <f t="shared" si="24"/>
        <v>2.8448085012176216E-2</v>
      </c>
      <c r="AB232" s="30">
        <f t="shared" si="24"/>
        <v>1.657518028199334E-2</v>
      </c>
      <c r="AC232" s="30">
        <f t="shared" si="24"/>
        <v>8.7347803070407792E-3</v>
      </c>
      <c r="AD232" s="30">
        <f t="shared" si="24"/>
        <v>1.0495932826026788E-4</v>
      </c>
      <c r="AE232" s="30">
        <f t="shared" si="24"/>
        <v>-3.5682426404995971E-3</v>
      </c>
      <c r="AF232" s="30">
        <f t="shared" si="24"/>
        <v>-7.0040549791985374E-3</v>
      </c>
      <c r="AG232" s="30">
        <f t="shared" si="24"/>
        <v>-9.6521001272804607E-3</v>
      </c>
      <c r="AH232" s="30">
        <f t="shared" si="24"/>
        <v>-7.0151012102388499E-3</v>
      </c>
      <c r="AI232" s="30">
        <f t="shared" si="24"/>
        <v>-1.1594671843822457E-2</v>
      </c>
      <c r="AJ232" s="30">
        <f t="shared" si="24"/>
        <v>-1.5168048886948893E-2</v>
      </c>
      <c r="AK232" s="30">
        <f t="shared" si="24"/>
        <v>-1.1911357340720241E-2</v>
      </c>
      <c r="AL232" s="30">
        <f t="shared" si="24"/>
        <v>-5.2144659377628688E-3</v>
      </c>
      <c r="AM232" s="30">
        <f t="shared" si="24"/>
        <v>-1.099086912411229E-2</v>
      </c>
      <c r="AN232" s="30">
        <f t="shared" si="24"/>
        <v>-3.590357326038629E-3</v>
      </c>
      <c r="AO232" s="30">
        <f t="shared" si="24"/>
        <v>1.4070006863418083E-2</v>
      </c>
      <c r="AP232" s="30">
        <f t="shared" si="24"/>
        <v>1.9740552735476591E-2</v>
      </c>
      <c r="AQ232" s="30">
        <f t="shared" si="24"/>
        <v>1.7699115044247815E-2</v>
      </c>
      <c r="AR232" s="30">
        <f t="shared" si="24"/>
        <v>1.9239130434782536E-2</v>
      </c>
      <c r="AS232" s="30">
        <f t="shared" si="24"/>
        <v>1.1517542924176283E-2</v>
      </c>
      <c r="AT232" s="30">
        <f t="shared" si="24"/>
        <v>4.7443331576180192E-4</v>
      </c>
      <c r="AU232" s="30">
        <f t="shared" si="24"/>
        <v>-8.9572685599873525E-3</v>
      </c>
      <c r="AV232" s="30">
        <f t="shared" si="24"/>
        <v>-1.4142165984369237E-2</v>
      </c>
      <c r="AW232" s="30">
        <f t="shared" si="24"/>
        <v>-1.758075823760985E-2</v>
      </c>
      <c r="AX232" s="30">
        <f t="shared" si="24"/>
        <v>-1.0649393423725062E-2</v>
      </c>
      <c r="AY232" s="30">
        <f t="shared" si="24"/>
        <v>-5.9923431171281516E-3</v>
      </c>
      <c r="AZ232" s="30">
        <f t="shared" si="24"/>
        <v>-1.2838403572424939E-3</v>
      </c>
      <c r="BA232" s="30">
        <f t="shared" si="24"/>
        <v>4.4153811759446437E-3</v>
      </c>
      <c r="BB232" s="30">
        <f t="shared" si="24"/>
        <v>8.7362973679816491E-3</v>
      </c>
      <c r="BC232" s="30">
        <f t="shared" si="24"/>
        <v>7.7780229479258445E-3</v>
      </c>
      <c r="BD232" s="30">
        <f t="shared" si="24"/>
        <v>7.1706168920029345E-3</v>
      </c>
      <c r="BE232" s="30">
        <f t="shared" si="24"/>
        <v>6.4130434782607715E-3</v>
      </c>
      <c r="BF232" s="30">
        <f t="shared" si="24"/>
        <v>5.7241602764876998E-3</v>
      </c>
      <c r="BG232" s="30">
        <f t="shared" si="24"/>
        <v>4.7787800687284498E-3</v>
      </c>
      <c r="BH232" s="30">
        <f t="shared" si="24"/>
        <v>3.9010313685672315E-3</v>
      </c>
      <c r="BI232" s="30">
        <f t="shared" si="24"/>
        <v>3.0341743851804992E-3</v>
      </c>
      <c r="BJ232" s="30">
        <f t="shared" si="24"/>
        <v>2.0697341187709828E-3</v>
      </c>
      <c r="BK232" s="30">
        <f t="shared" si="24"/>
        <v>1.2180913038872809E-3</v>
      </c>
      <c r="BL232" s="30">
        <f t="shared" si="24"/>
        <v>2.6448029621795044E-4</v>
      </c>
      <c r="BM232" s="30">
        <f t="shared" si="24"/>
        <v>-4.2305658381813771E-4</v>
      </c>
      <c r="BN232" s="30">
        <f t="shared" si="24"/>
        <v>-1.005184636546419E-3</v>
      </c>
      <c r="BO232" s="30">
        <f t="shared" si="24"/>
        <v>-1.588730604247246E-3</v>
      </c>
    </row>
    <row r="233" spans="1:67" x14ac:dyDescent="0.2">
      <c r="C233" s="3" t="s">
        <v>159</v>
      </c>
      <c r="F233" s="30">
        <f>SUM(F$149:F$153)/SUM(E$149:E$153)-1</f>
        <v>-1.3337608207758866E-2</v>
      </c>
      <c r="G233" s="30">
        <f t="shared" ref="G233:BO233" si="25">SUM(G$149:G$153)/SUM(F$149:F$153)-1</f>
        <v>-1.3582894651329003E-2</v>
      </c>
      <c r="H233" s="30">
        <f t="shared" si="25"/>
        <v>-7.5108709974963661E-3</v>
      </c>
      <c r="I233" s="30">
        <f t="shared" si="25"/>
        <v>-1.9251194901752644E-3</v>
      </c>
      <c r="J233" s="30">
        <f t="shared" si="25"/>
        <v>2.327901563019541E-3</v>
      </c>
      <c r="K233" s="30">
        <f t="shared" si="25"/>
        <v>1.6589250165892633E-3</v>
      </c>
      <c r="L233" s="30">
        <f t="shared" si="25"/>
        <v>-5.1672739317655259E-3</v>
      </c>
      <c r="M233" s="30">
        <f t="shared" si="25"/>
        <v>-8.9232203502697116E-3</v>
      </c>
      <c r="N233" s="30">
        <f t="shared" si="25"/>
        <v>-1.1691191292078185E-2</v>
      </c>
      <c r="O233" s="30">
        <f t="shared" si="25"/>
        <v>-2.6514378951662199E-2</v>
      </c>
      <c r="P233" s="30">
        <f t="shared" si="25"/>
        <v>-2.8284098051539863E-2</v>
      </c>
      <c r="Q233" s="30">
        <f t="shared" si="25"/>
        <v>-2.580135115710791E-2</v>
      </c>
      <c r="R233" s="30">
        <f t="shared" si="25"/>
        <v>-1.6156399852452985E-2</v>
      </c>
      <c r="S233" s="30">
        <f t="shared" si="25"/>
        <v>-4.1991601679663981E-3</v>
      </c>
      <c r="T233" s="30">
        <f t="shared" si="25"/>
        <v>7.6054216867469382E-3</v>
      </c>
      <c r="U233" s="30">
        <f t="shared" si="25"/>
        <v>9.3416037665345897E-3</v>
      </c>
      <c r="V233" s="30">
        <f t="shared" si="25"/>
        <v>2.102769139641647E-2</v>
      </c>
      <c r="W233" s="30">
        <f t="shared" si="25"/>
        <v>1.9289340101522834E-2</v>
      </c>
      <c r="X233" s="30">
        <f t="shared" si="25"/>
        <v>1.8995446784291437E-2</v>
      </c>
      <c r="Y233" s="30">
        <f t="shared" si="25"/>
        <v>2.1154786008517723E-2</v>
      </c>
      <c r="Z233" s="30">
        <f t="shared" si="25"/>
        <v>2.6733214822918017E-2</v>
      </c>
      <c r="AA233" s="30">
        <f t="shared" si="25"/>
        <v>2.9566491309848786E-2</v>
      </c>
      <c r="AB233" s="30">
        <f t="shared" si="25"/>
        <v>3.82252118232973E-2</v>
      </c>
      <c r="AC233" s="30">
        <f t="shared" si="25"/>
        <v>4.4418141041614678E-2</v>
      </c>
      <c r="AD233" s="30">
        <f t="shared" si="25"/>
        <v>4.6227259170891655E-2</v>
      </c>
      <c r="AE233" s="30">
        <f t="shared" si="25"/>
        <v>3.6202964652223502E-2</v>
      </c>
      <c r="AF233" s="30">
        <f t="shared" si="25"/>
        <v>2.8225584594222752E-2</v>
      </c>
      <c r="AG233" s="30">
        <f t="shared" si="25"/>
        <v>1.6427654109589129E-2</v>
      </c>
      <c r="AH233" s="30">
        <f t="shared" si="25"/>
        <v>8.6864964464332672E-3</v>
      </c>
      <c r="AI233" s="30">
        <f t="shared" si="25"/>
        <v>2.6096033402933649E-4</v>
      </c>
      <c r="AJ233" s="30">
        <f t="shared" si="25"/>
        <v>-3.4959561701017883E-3</v>
      </c>
      <c r="AK233" s="30">
        <f t="shared" si="25"/>
        <v>-6.8069954969106616E-3</v>
      </c>
      <c r="AL233" s="30">
        <f t="shared" si="25"/>
        <v>-9.5423871784057201E-3</v>
      </c>
      <c r="AM233" s="30">
        <f t="shared" si="25"/>
        <v>-6.8132219087666535E-3</v>
      </c>
      <c r="AN233" s="30">
        <f t="shared" si="25"/>
        <v>-1.1468996194865744E-2</v>
      </c>
      <c r="AO233" s="30">
        <f t="shared" si="25"/>
        <v>-1.4909189482244511E-2</v>
      </c>
      <c r="AP233" s="30">
        <f t="shared" si="25"/>
        <v>-1.1667583929554248E-2</v>
      </c>
      <c r="AQ233" s="30">
        <f t="shared" si="25"/>
        <v>-5.1230649292793862E-3</v>
      </c>
      <c r="AR233" s="30">
        <f t="shared" si="25"/>
        <v>-1.0746669651852669E-2</v>
      </c>
      <c r="AS233" s="30">
        <f t="shared" si="25"/>
        <v>-3.5645581079551958E-3</v>
      </c>
      <c r="AT233" s="30">
        <f t="shared" si="25"/>
        <v>1.3968542388280047E-2</v>
      </c>
      <c r="AU233" s="30">
        <f t="shared" si="25"/>
        <v>1.9600156801254487E-2</v>
      </c>
      <c r="AV233" s="30">
        <f t="shared" si="25"/>
        <v>1.7575657714065995E-2</v>
      </c>
      <c r="AW233" s="30">
        <f t="shared" si="25"/>
        <v>1.9107248880013028E-2</v>
      </c>
      <c r="AX233" s="30">
        <f t="shared" si="25"/>
        <v>1.1387108733647677E-2</v>
      </c>
      <c r="AY233" s="30">
        <f t="shared" si="25"/>
        <v>5.7603686635943063E-4</v>
      </c>
      <c r="AZ233" s="30">
        <f t="shared" si="25"/>
        <v>-8.7925891034699166E-3</v>
      </c>
      <c r="BA233" s="30">
        <f t="shared" si="25"/>
        <v>-1.4045092137916493E-2</v>
      </c>
      <c r="BB233" s="30">
        <f t="shared" si="25"/>
        <v>-1.7297702565201134E-2</v>
      </c>
      <c r="BC233" s="30">
        <f t="shared" si="25"/>
        <v>-1.0463215258855629E-2</v>
      </c>
      <c r="BD233" s="30">
        <f t="shared" si="25"/>
        <v>-5.8376473179865274E-3</v>
      </c>
      <c r="BE233" s="30">
        <f t="shared" si="25"/>
        <v>-1.329492576999769E-3</v>
      </c>
      <c r="BF233" s="30">
        <f t="shared" si="25"/>
        <v>4.4375416019524216E-3</v>
      </c>
      <c r="BG233" s="30">
        <f t="shared" si="25"/>
        <v>8.7254252264192811E-3</v>
      </c>
      <c r="BH233" s="30">
        <f t="shared" si="25"/>
        <v>7.8834993977883183E-3</v>
      </c>
      <c r="BI233" s="30">
        <f t="shared" si="25"/>
        <v>7.0070613796848757E-3</v>
      </c>
      <c r="BJ233" s="30">
        <f t="shared" si="25"/>
        <v>6.4728410378120937E-3</v>
      </c>
      <c r="BK233" s="30">
        <f t="shared" si="25"/>
        <v>5.7344980974329829E-3</v>
      </c>
      <c r="BL233" s="30">
        <f t="shared" si="25"/>
        <v>4.6893317702227932E-3</v>
      </c>
      <c r="BM233" s="30">
        <f t="shared" si="25"/>
        <v>3.9779357165588003E-3</v>
      </c>
      <c r="BN233" s="30">
        <f t="shared" si="25"/>
        <v>3.0112525754133479E-3</v>
      </c>
      <c r="BO233" s="30">
        <f t="shared" si="25"/>
        <v>2.1068155482988349E-3</v>
      </c>
    </row>
    <row r="234" spans="1:67" x14ac:dyDescent="0.2">
      <c r="C234" s="3" t="s">
        <v>160</v>
      </c>
      <c r="F234" s="30">
        <f>SUM(F$154:F$158)/SUM(E$154:E$158)-1</f>
        <v>2.2867489270386177E-2</v>
      </c>
      <c r="G234" s="30">
        <f t="shared" ref="G234:BO234" si="26">SUM(G$154:G$158)/SUM(F$154:F$158)-1</f>
        <v>1.9209335868353827E-2</v>
      </c>
      <c r="H234" s="30">
        <f t="shared" si="26"/>
        <v>8.7482310562203569E-3</v>
      </c>
      <c r="I234" s="30">
        <f t="shared" si="26"/>
        <v>-1.4028822854227352E-3</v>
      </c>
      <c r="J234" s="30">
        <f t="shared" si="26"/>
        <v>-1.1174968071519742E-2</v>
      </c>
      <c r="K234" s="30">
        <f t="shared" si="26"/>
        <v>-1.8792379722311958E-2</v>
      </c>
      <c r="L234" s="30">
        <f t="shared" si="26"/>
        <v>-1.2175858891667724E-2</v>
      </c>
      <c r="M234" s="30">
        <f t="shared" si="26"/>
        <v>-3.8643480578319789E-3</v>
      </c>
      <c r="N234" s="30">
        <f t="shared" si="26"/>
        <v>4.6150759146545983E-3</v>
      </c>
      <c r="O234" s="30">
        <f t="shared" si="26"/>
        <v>8.921438082556632E-3</v>
      </c>
      <c r="P234" s="30">
        <f t="shared" si="26"/>
        <v>4.949188333113419E-3</v>
      </c>
      <c r="Q234" s="30">
        <f t="shared" si="26"/>
        <v>-4.6621577253923574E-3</v>
      </c>
      <c r="R234" s="30">
        <f t="shared" si="26"/>
        <v>-1.3128381052909366E-2</v>
      </c>
      <c r="S234" s="30">
        <f t="shared" si="26"/>
        <v>-1.9185774450163784E-2</v>
      </c>
      <c r="T234" s="30">
        <f t="shared" si="26"/>
        <v>-3.0125408942202836E-2</v>
      </c>
      <c r="U234" s="30">
        <f t="shared" si="26"/>
        <v>-2.8039353478566453E-2</v>
      </c>
      <c r="V234" s="30">
        <f t="shared" si="26"/>
        <v>-2.5594678620490252E-2</v>
      </c>
      <c r="W234" s="30">
        <f t="shared" si="26"/>
        <v>-1.5878904800771698E-2</v>
      </c>
      <c r="X234" s="30">
        <f t="shared" si="26"/>
        <v>-3.9960793184046217E-3</v>
      </c>
      <c r="Y234" s="30">
        <f t="shared" si="26"/>
        <v>7.7214231642694919E-3</v>
      </c>
      <c r="Z234" s="30">
        <f t="shared" si="26"/>
        <v>9.3900240384614531E-3</v>
      </c>
      <c r="AA234" s="30">
        <f t="shared" si="26"/>
        <v>2.1210091538289788E-2</v>
      </c>
      <c r="AB234" s="30">
        <f t="shared" si="26"/>
        <v>1.9312053636496129E-2</v>
      </c>
      <c r="AC234" s="30">
        <f t="shared" si="26"/>
        <v>1.9160649174233324E-2</v>
      </c>
      <c r="AD234" s="30">
        <f t="shared" si="26"/>
        <v>2.1396001403016562E-2</v>
      </c>
      <c r="AE234" s="30">
        <f t="shared" si="26"/>
        <v>2.6785714285714191E-2</v>
      </c>
      <c r="AF234" s="30">
        <f t="shared" si="26"/>
        <v>2.9632107023411347E-2</v>
      </c>
      <c r="AG234" s="30">
        <f t="shared" si="26"/>
        <v>3.8264146040408065E-2</v>
      </c>
      <c r="AH234" s="30">
        <f t="shared" si="26"/>
        <v>4.4612689275434825E-2</v>
      </c>
      <c r="AI234" s="30">
        <f t="shared" si="26"/>
        <v>4.6301287810721847E-2</v>
      </c>
      <c r="AJ234" s="30">
        <f t="shared" si="26"/>
        <v>3.6123196702541716E-2</v>
      </c>
      <c r="AK234" s="30">
        <f t="shared" si="26"/>
        <v>2.8344107409249197E-2</v>
      </c>
      <c r="AL234" s="30">
        <f t="shared" si="26"/>
        <v>1.6494734579840964E-2</v>
      </c>
      <c r="AM234" s="30">
        <f t="shared" si="26"/>
        <v>8.8799619430202092E-3</v>
      </c>
      <c r="AN234" s="30">
        <f t="shared" si="26"/>
        <v>3.1435008120705987E-4</v>
      </c>
      <c r="AO234" s="30">
        <f t="shared" si="26"/>
        <v>-3.3520138270570765E-3</v>
      </c>
      <c r="AP234" s="30">
        <f t="shared" si="26"/>
        <v>-6.7265752272847035E-3</v>
      </c>
      <c r="AQ234" s="30">
        <f t="shared" si="26"/>
        <v>-9.4174911380350279E-3</v>
      </c>
      <c r="AR234" s="30">
        <f t="shared" si="26"/>
        <v>-6.7831009987715518E-3</v>
      </c>
      <c r="AS234" s="30">
        <f t="shared" si="26"/>
        <v>-1.129275112927508E-2</v>
      </c>
      <c r="AT234" s="30">
        <f t="shared" si="26"/>
        <v>-1.4793864897204356E-2</v>
      </c>
      <c r="AU234" s="30">
        <f t="shared" si="26"/>
        <v>-1.1593242795627678E-2</v>
      </c>
      <c r="AV234" s="30">
        <f t="shared" si="26"/>
        <v>-5.0268096514745064E-3</v>
      </c>
      <c r="AW234" s="30">
        <f t="shared" si="26"/>
        <v>-1.0609632873021191E-2</v>
      </c>
      <c r="AX234" s="30">
        <f t="shared" si="26"/>
        <v>-3.4042553191488967E-3</v>
      </c>
      <c r="AY234" s="30">
        <f t="shared" si="26"/>
        <v>1.3948192428124173E-2</v>
      </c>
      <c r="AZ234" s="30">
        <f t="shared" si="26"/>
        <v>1.9651880965749546E-2</v>
      </c>
      <c r="BA234" s="30">
        <f t="shared" si="26"/>
        <v>1.7676211453744539E-2</v>
      </c>
      <c r="BB234" s="30">
        <f t="shared" si="26"/>
        <v>1.9208917266381631E-2</v>
      </c>
      <c r="BC234" s="30">
        <f t="shared" si="26"/>
        <v>1.1520492673603666E-2</v>
      </c>
      <c r="BD234" s="30">
        <f t="shared" si="26"/>
        <v>5.7733690232519841E-4</v>
      </c>
      <c r="BE234" s="30">
        <f t="shared" si="26"/>
        <v>-8.707511540075541E-3</v>
      </c>
      <c r="BF234" s="30">
        <f t="shared" si="26"/>
        <v>-1.396973224679865E-2</v>
      </c>
      <c r="BG234" s="30">
        <f t="shared" si="26"/>
        <v>-1.7280240420736281E-2</v>
      </c>
      <c r="BH234" s="30">
        <f t="shared" si="26"/>
        <v>-1.0321100917431214E-2</v>
      </c>
      <c r="BI234" s="30">
        <f t="shared" si="26"/>
        <v>-5.7385642553661187E-3</v>
      </c>
      <c r="BJ234" s="30">
        <f t="shared" si="26"/>
        <v>-1.2209334591264387E-3</v>
      </c>
      <c r="BK234" s="30">
        <f t="shared" si="26"/>
        <v>4.5007501250209359E-3</v>
      </c>
      <c r="BL234" s="30">
        <f t="shared" si="26"/>
        <v>8.7399048567320392E-3</v>
      </c>
      <c r="BM234" s="30">
        <f t="shared" si="26"/>
        <v>7.7867953498573783E-3</v>
      </c>
      <c r="BN234" s="30">
        <f t="shared" si="26"/>
        <v>7.2369137011645268E-3</v>
      </c>
      <c r="BO234" s="30">
        <f t="shared" si="26"/>
        <v>6.482631948571127E-3</v>
      </c>
    </row>
    <row r="235" spans="1:67" x14ac:dyDescent="0.2">
      <c r="C235" s="3" t="s">
        <v>161</v>
      </c>
      <c r="F235" s="30">
        <f>SUM(F$159:F$163)/SUM(E$159:E$163)-1</f>
        <v>2.3397213884399193E-2</v>
      </c>
      <c r="G235" s="30">
        <f t="shared" ref="G235:BO235" si="27">SUM(G$159:G$163)/SUM(F$159:F$163)-1</f>
        <v>2.1207791231104833E-2</v>
      </c>
      <c r="H235" s="30">
        <f t="shared" si="27"/>
        <v>2.6290595772884506E-2</v>
      </c>
      <c r="I235" s="30">
        <f t="shared" si="27"/>
        <v>2.4684270952927578E-2</v>
      </c>
      <c r="J235" s="30">
        <f t="shared" si="27"/>
        <v>2.0938375350139982E-2</v>
      </c>
      <c r="K235" s="30">
        <f t="shared" si="27"/>
        <v>2.0303175800809425E-2</v>
      </c>
      <c r="L235" s="30">
        <f t="shared" si="27"/>
        <v>1.963025210084024E-2</v>
      </c>
      <c r="M235" s="30">
        <f t="shared" si="27"/>
        <v>1.1208544867145731E-2</v>
      </c>
      <c r="N235" s="30">
        <f t="shared" si="27"/>
        <v>3.846906174610476E-3</v>
      </c>
      <c r="O235" s="30">
        <f t="shared" si="27"/>
        <v>-7.2746167835801012E-3</v>
      </c>
      <c r="P235" s="30">
        <f t="shared" si="27"/>
        <v>-1.4917560847945599E-2</v>
      </c>
      <c r="Q235" s="30">
        <f t="shared" si="27"/>
        <v>-1.062699256110522E-2</v>
      </c>
      <c r="R235" s="30">
        <f t="shared" si="27"/>
        <v>-6.2432867883995824E-3</v>
      </c>
      <c r="S235" s="30">
        <f t="shared" si="27"/>
        <v>-7.4309261636151813E-4</v>
      </c>
      <c r="T235" s="30">
        <f t="shared" si="27"/>
        <v>6.489994591671211E-3</v>
      </c>
      <c r="U235" s="30">
        <f t="shared" si="27"/>
        <v>5.2391187533584738E-3</v>
      </c>
      <c r="V235" s="30">
        <f t="shared" si="27"/>
        <v>-4.4768141119871929E-3</v>
      </c>
      <c r="W235" s="30">
        <f t="shared" si="27"/>
        <v>-1.2886770924223079E-2</v>
      </c>
      <c r="X235" s="30">
        <f t="shared" si="27"/>
        <v>-1.9174542734752165E-2</v>
      </c>
      <c r="Y235" s="30">
        <f t="shared" si="27"/>
        <v>-3.0017331022530347E-2</v>
      </c>
      <c r="Z235" s="30">
        <f t="shared" si="27"/>
        <v>-2.8087478559176704E-2</v>
      </c>
      <c r="AA235" s="30">
        <f t="shared" si="27"/>
        <v>-2.5590116920361838E-2</v>
      </c>
      <c r="AB235" s="30">
        <f t="shared" si="27"/>
        <v>-1.5621462531129726E-2</v>
      </c>
      <c r="AC235" s="30">
        <f t="shared" si="27"/>
        <v>-3.8331800061330856E-3</v>
      </c>
      <c r="AD235" s="30">
        <f t="shared" si="27"/>
        <v>8.0806526088963437E-3</v>
      </c>
      <c r="AE235" s="30">
        <f t="shared" si="27"/>
        <v>9.6953965951598331E-3</v>
      </c>
      <c r="AF235" s="30">
        <f t="shared" si="27"/>
        <v>2.1472856494783032E-2</v>
      </c>
      <c r="AG235" s="30">
        <f t="shared" si="27"/>
        <v>1.9837157660991922E-2</v>
      </c>
      <c r="AH235" s="30">
        <f t="shared" si="27"/>
        <v>1.937871969806948E-2</v>
      </c>
      <c r="AI235" s="30">
        <f t="shared" si="27"/>
        <v>2.1644713421146378E-2</v>
      </c>
      <c r="AJ235" s="30">
        <f t="shared" si="27"/>
        <v>2.7388668199874511E-2</v>
      </c>
      <c r="AK235" s="30">
        <f t="shared" si="27"/>
        <v>2.9846696513363247E-2</v>
      </c>
      <c r="AL235" s="30">
        <f t="shared" si="27"/>
        <v>3.8861810038203215E-2</v>
      </c>
      <c r="AM235" s="30">
        <f t="shared" si="27"/>
        <v>4.5016484909967014E-2</v>
      </c>
      <c r="AN235" s="30">
        <f t="shared" si="27"/>
        <v>4.6596286858390901E-2</v>
      </c>
      <c r="AO235" s="30">
        <f t="shared" si="27"/>
        <v>3.6637681159420232E-2</v>
      </c>
      <c r="AP235" s="30">
        <f t="shared" si="27"/>
        <v>2.857622189911635E-2</v>
      </c>
      <c r="AQ235" s="30">
        <f t="shared" si="27"/>
        <v>1.679986951557666E-2</v>
      </c>
      <c r="AR235" s="30">
        <f t="shared" si="27"/>
        <v>9.0899369051438139E-3</v>
      </c>
      <c r="AS235" s="30">
        <f t="shared" si="27"/>
        <v>4.2390843577777559E-4</v>
      </c>
      <c r="AT235" s="30">
        <f t="shared" si="27"/>
        <v>-3.1779661016949623E-3</v>
      </c>
      <c r="AU235" s="30">
        <f t="shared" si="27"/>
        <v>-6.6950053134963161E-3</v>
      </c>
      <c r="AV235" s="30">
        <f t="shared" si="27"/>
        <v>-9.3077992938911391E-3</v>
      </c>
      <c r="AW235" s="30">
        <f t="shared" si="27"/>
        <v>-6.5874730021597827E-3</v>
      </c>
      <c r="AX235" s="30">
        <f t="shared" si="27"/>
        <v>-1.125122295901726E-2</v>
      </c>
      <c r="AY235" s="30">
        <f t="shared" si="27"/>
        <v>-1.4787532296190453E-2</v>
      </c>
      <c r="AZ235" s="30">
        <f t="shared" si="27"/>
        <v>-1.1494252873563204E-2</v>
      </c>
      <c r="BA235" s="30">
        <f t="shared" si="27"/>
        <v>-4.9672612327839039E-3</v>
      </c>
      <c r="BB235" s="30">
        <f t="shared" si="27"/>
        <v>-1.0608123439981854E-2</v>
      </c>
      <c r="BC235" s="30">
        <f t="shared" si="27"/>
        <v>-3.3254973912045793E-3</v>
      </c>
      <c r="BD235" s="30">
        <f t="shared" si="27"/>
        <v>1.426681240292238E-2</v>
      </c>
      <c r="BE235" s="30">
        <f t="shared" si="27"/>
        <v>1.9908116385911168E-2</v>
      </c>
      <c r="BF235" s="30">
        <f t="shared" si="27"/>
        <v>1.7851184517851282E-2</v>
      </c>
      <c r="BG235" s="30">
        <f t="shared" si="27"/>
        <v>1.9395727476370084E-2</v>
      </c>
      <c r="BH235" s="30">
        <f t="shared" si="27"/>
        <v>1.1683996141065522E-2</v>
      </c>
      <c r="BI235" s="30">
        <f t="shared" si="27"/>
        <v>5.8275058275047975E-4</v>
      </c>
      <c r="BJ235" s="30">
        <f t="shared" si="27"/>
        <v>-8.5773283210673901E-3</v>
      </c>
      <c r="BK235" s="30">
        <f t="shared" si="27"/>
        <v>-1.393858477970622E-2</v>
      </c>
      <c r="BL235" s="30">
        <f t="shared" si="27"/>
        <v>-1.7222703639514725E-2</v>
      </c>
      <c r="BM235" s="30">
        <f t="shared" si="27"/>
        <v>-1.0360410007715148E-2</v>
      </c>
      <c r="BN235" s="30">
        <f t="shared" si="27"/>
        <v>-5.6799198128967276E-3</v>
      </c>
      <c r="BO235" s="30">
        <f t="shared" si="27"/>
        <v>-1.1200716845878311E-3</v>
      </c>
    </row>
    <row r="236" spans="1:67" x14ac:dyDescent="0.2">
      <c r="C236" s="3" t="s">
        <v>162</v>
      </c>
      <c r="F236" s="30">
        <f>SUM(F$164:F$168)/SUM(E$164:E$168)-1</f>
        <v>1.3324450366423157E-3</v>
      </c>
      <c r="G236" s="30">
        <f t="shared" ref="G236:BO236" si="28">SUM(G$164:G$168)/SUM(F$164:F$168)-1</f>
        <v>3.3266799733866481E-3</v>
      </c>
      <c r="H236" s="30">
        <f t="shared" si="28"/>
        <v>1.1438992042440255E-2</v>
      </c>
      <c r="I236" s="30">
        <f t="shared" si="28"/>
        <v>1.5735125389280347E-2</v>
      </c>
      <c r="J236" s="30">
        <f t="shared" si="28"/>
        <v>2.0897208326609684E-2</v>
      </c>
      <c r="K236" s="30">
        <f t="shared" si="28"/>
        <v>2.2524302536947705E-2</v>
      </c>
      <c r="L236" s="30">
        <f t="shared" si="28"/>
        <v>2.1564383985160029E-2</v>
      </c>
      <c r="M236" s="30">
        <f t="shared" si="28"/>
        <v>2.7842929560414564E-2</v>
      </c>
      <c r="N236" s="30">
        <f t="shared" si="28"/>
        <v>2.7456753772543196E-2</v>
      </c>
      <c r="O236" s="30">
        <f t="shared" si="28"/>
        <v>2.5290156182834256E-2</v>
      </c>
      <c r="P236" s="30">
        <f t="shared" si="28"/>
        <v>2.312906156103689E-2</v>
      </c>
      <c r="Q236" s="30">
        <f t="shared" si="28"/>
        <v>2.1103674361426128E-2</v>
      </c>
      <c r="R236" s="30">
        <f t="shared" si="28"/>
        <v>9.5645776202260002E-3</v>
      </c>
      <c r="S236" s="30">
        <f t="shared" si="28"/>
        <v>3.9750894395118586E-4</v>
      </c>
      <c r="T236" s="30">
        <f t="shared" si="28"/>
        <v>-8.8741721854305178E-3</v>
      </c>
      <c r="U236" s="30">
        <f t="shared" si="28"/>
        <v>-1.4566350394226935E-2</v>
      </c>
      <c r="V236" s="30">
        <f t="shared" si="28"/>
        <v>-1.0374288039056156E-2</v>
      </c>
      <c r="W236" s="30">
        <f t="shared" si="28"/>
        <v>-5.686879068174E-3</v>
      </c>
      <c r="X236" s="30">
        <f t="shared" si="28"/>
        <v>-3.4454244762960329E-4</v>
      </c>
      <c r="Y236" s="30">
        <f t="shared" si="28"/>
        <v>6.8932239608465729E-3</v>
      </c>
      <c r="Z236" s="30">
        <f t="shared" si="28"/>
        <v>5.5452865064695711E-3</v>
      </c>
      <c r="AA236" s="30">
        <f t="shared" si="28"/>
        <v>-4.0168845315904367E-3</v>
      </c>
      <c r="AB236" s="30">
        <f t="shared" si="28"/>
        <v>-1.2577756511039762E-2</v>
      </c>
      <c r="AC236" s="30">
        <f t="shared" si="28"/>
        <v>-1.8899273104880598E-2</v>
      </c>
      <c r="AD236" s="30">
        <f t="shared" si="28"/>
        <v>-2.9777025119954836E-2</v>
      </c>
      <c r="AE236" s="30">
        <f t="shared" si="28"/>
        <v>-2.792727272727269E-2</v>
      </c>
      <c r="AF236" s="30">
        <f t="shared" si="28"/>
        <v>-2.5213227592398635E-2</v>
      </c>
      <c r="AG236" s="30">
        <f t="shared" si="28"/>
        <v>-1.5580627830224847E-2</v>
      </c>
      <c r="AH236" s="30">
        <f t="shared" si="28"/>
        <v>-3.4305317324184736E-3</v>
      </c>
      <c r="AI236" s="30">
        <f t="shared" si="28"/>
        <v>8.2929119073698043E-3</v>
      </c>
      <c r="AJ236" s="30">
        <f t="shared" si="28"/>
        <v>1.0164494103041655E-2</v>
      </c>
      <c r="AK236" s="30">
        <f t="shared" si="28"/>
        <v>2.1891082264382744E-2</v>
      </c>
      <c r="AL236" s="30">
        <f t="shared" si="28"/>
        <v>2.0069152134696289E-2</v>
      </c>
      <c r="AM236" s="30">
        <f t="shared" si="28"/>
        <v>1.9821678579323487E-2</v>
      </c>
      <c r="AN236" s="30">
        <f t="shared" si="28"/>
        <v>2.2182080924855407E-2</v>
      </c>
      <c r="AO236" s="30">
        <f t="shared" si="28"/>
        <v>2.763836855870494E-2</v>
      </c>
      <c r="AP236" s="30">
        <f t="shared" si="28"/>
        <v>3.0403081579309488E-2</v>
      </c>
      <c r="AQ236" s="30">
        <f t="shared" si="28"/>
        <v>3.9118825100133536E-2</v>
      </c>
      <c r="AR236" s="30">
        <f t="shared" si="28"/>
        <v>4.5547989207246564E-2</v>
      </c>
      <c r="AS236" s="30">
        <f t="shared" si="28"/>
        <v>4.7066052227342503E-2</v>
      </c>
      <c r="AT236" s="30">
        <f t="shared" si="28"/>
        <v>3.6910979402617228E-2</v>
      </c>
      <c r="AU236" s="30">
        <f t="shared" si="28"/>
        <v>2.8919071873231506E-2</v>
      </c>
      <c r="AV236" s="30">
        <f t="shared" si="28"/>
        <v>1.7105769759639289E-2</v>
      </c>
      <c r="AW236" s="30">
        <f t="shared" si="28"/>
        <v>9.1931646117240362E-3</v>
      </c>
      <c r="AX236" s="30">
        <f t="shared" si="28"/>
        <v>6.9660272210914087E-4</v>
      </c>
      <c r="AY236" s="30">
        <f t="shared" si="28"/>
        <v>-2.9986613119142858E-3</v>
      </c>
      <c r="AZ236" s="30">
        <f t="shared" si="28"/>
        <v>-6.498737848434355E-3</v>
      </c>
      <c r="BA236" s="30">
        <f t="shared" si="28"/>
        <v>-9.1901827224565302E-3</v>
      </c>
      <c r="BB236" s="30">
        <f t="shared" si="28"/>
        <v>-6.4382365779135364E-3</v>
      </c>
      <c r="BC236" s="30">
        <f t="shared" si="28"/>
        <v>-1.1092806150466816E-2</v>
      </c>
      <c r="BD236" s="30">
        <f t="shared" si="28"/>
        <v>-1.4715681919147072E-2</v>
      </c>
      <c r="BE236" s="30">
        <f t="shared" si="28"/>
        <v>-1.1328411204418631E-2</v>
      </c>
      <c r="BF236" s="30">
        <f t="shared" si="28"/>
        <v>-4.7315015391631299E-3</v>
      </c>
      <c r="BG236" s="30">
        <f t="shared" si="28"/>
        <v>-1.0596254080989742E-2</v>
      </c>
      <c r="BH236" s="30">
        <f t="shared" si="28"/>
        <v>-3.1839759175639193E-3</v>
      </c>
      <c r="BI236" s="30">
        <f t="shared" si="28"/>
        <v>1.4634996225100227E-2</v>
      </c>
      <c r="BJ236" s="30">
        <f t="shared" si="28"/>
        <v>2.0033197870757302E-2</v>
      </c>
      <c r="BK236" s="30">
        <f t="shared" si="28"/>
        <v>1.8068570787273419E-2</v>
      </c>
      <c r="BL236" s="30">
        <f t="shared" si="28"/>
        <v>1.9511657388524561E-2</v>
      </c>
      <c r="BM236" s="30">
        <f t="shared" si="28"/>
        <v>1.1893820619560014E-2</v>
      </c>
      <c r="BN236" s="30">
        <f t="shared" si="28"/>
        <v>8.0141048244919411E-4</v>
      </c>
      <c r="BO236" s="30">
        <f t="shared" si="28"/>
        <v>-8.5415332052103388E-3</v>
      </c>
    </row>
    <row r="237" spans="1:67" x14ac:dyDescent="0.2">
      <c r="C237" s="3" t="s">
        <v>163</v>
      </c>
      <c r="F237" s="30">
        <f>SUM(F$169:F$173)/SUM(E$169:E$173)-1</f>
        <v>5.8215451577801947E-2</v>
      </c>
      <c r="G237" s="30">
        <f t="shared" ref="G237:BO237" si="29">SUM(G$169:G$173)/SUM(F$169:F$173)-1</f>
        <v>7.1979434447300816E-2</v>
      </c>
      <c r="H237" s="30">
        <f t="shared" si="29"/>
        <v>4.671462829736206E-2</v>
      </c>
      <c r="I237" s="30">
        <f t="shared" si="29"/>
        <v>4.1330645161290258E-2</v>
      </c>
      <c r="J237" s="30">
        <f t="shared" si="29"/>
        <v>3.1153744609698109E-2</v>
      </c>
      <c r="K237" s="30">
        <f t="shared" si="29"/>
        <v>1.7069215669540672E-3</v>
      </c>
      <c r="L237" s="30">
        <f t="shared" si="29"/>
        <v>4.5156343188208492E-3</v>
      </c>
      <c r="M237" s="30">
        <f t="shared" si="29"/>
        <v>1.3486005089058617E-2</v>
      </c>
      <c r="N237" s="30">
        <f t="shared" si="29"/>
        <v>1.9248472675537753E-2</v>
      </c>
      <c r="O237" s="30">
        <f t="shared" si="29"/>
        <v>2.3236718942441836E-2</v>
      </c>
      <c r="P237" s="30">
        <f t="shared" si="29"/>
        <v>2.3992938533140773E-2</v>
      </c>
      <c r="Q237" s="30">
        <f t="shared" si="29"/>
        <v>2.1471671499098788E-2</v>
      </c>
      <c r="R237" s="30">
        <f t="shared" si="29"/>
        <v>2.546988876102807E-2</v>
      </c>
      <c r="S237" s="30">
        <f t="shared" si="29"/>
        <v>2.3789930425675232E-2</v>
      </c>
      <c r="T237" s="30">
        <f t="shared" si="29"/>
        <v>2.4113993423456437E-2</v>
      </c>
      <c r="U237" s="30">
        <f t="shared" si="29"/>
        <v>2.368890474491625E-2</v>
      </c>
      <c r="V237" s="30">
        <f t="shared" si="29"/>
        <v>2.1537603680211959E-2</v>
      </c>
      <c r="W237" s="30">
        <f t="shared" si="29"/>
        <v>1.023471615720517E-2</v>
      </c>
      <c r="X237" s="30">
        <f t="shared" si="29"/>
        <v>8.7802242334178437E-4</v>
      </c>
      <c r="Y237" s="30">
        <f t="shared" si="29"/>
        <v>-8.0977123962480135E-3</v>
      </c>
      <c r="Z237" s="30">
        <f t="shared" si="29"/>
        <v>-1.3946526974624174E-2</v>
      </c>
      <c r="AA237" s="30">
        <f t="shared" si="29"/>
        <v>-9.7281633779494614E-3</v>
      </c>
      <c r="AB237" s="30">
        <f t="shared" si="29"/>
        <v>-5.0163728837177013E-3</v>
      </c>
      <c r="AC237" s="30">
        <f t="shared" si="29"/>
        <v>2.1006932287659374E-4</v>
      </c>
      <c r="AD237" s="30">
        <f t="shared" si="29"/>
        <v>7.5609073088771517E-3</v>
      </c>
      <c r="AE237" s="30">
        <f t="shared" si="29"/>
        <v>6.1145080600333301E-3</v>
      </c>
      <c r="AF237" s="30">
        <f t="shared" si="29"/>
        <v>-3.6602209944751607E-3</v>
      </c>
      <c r="AG237" s="30">
        <f t="shared" si="29"/>
        <v>-1.1991405004505462E-2</v>
      </c>
      <c r="AH237" s="30">
        <f t="shared" si="29"/>
        <v>-1.8380805387961274E-2</v>
      </c>
      <c r="AI237" s="30">
        <f t="shared" si="29"/>
        <v>-2.9230989136649566E-2</v>
      </c>
      <c r="AJ237" s="30">
        <f t="shared" si="29"/>
        <v>-2.7166310829713658E-2</v>
      </c>
      <c r="AK237" s="30">
        <f t="shared" si="29"/>
        <v>-2.4746481004994658E-2</v>
      </c>
      <c r="AL237" s="30">
        <f t="shared" si="29"/>
        <v>-1.4821137580507515E-2</v>
      </c>
      <c r="AM237" s="30">
        <f t="shared" si="29"/>
        <v>-2.9930686830498265E-3</v>
      </c>
      <c r="AN237" s="30">
        <f t="shared" si="29"/>
        <v>8.6901564228156758E-3</v>
      </c>
      <c r="AO237" s="30">
        <f t="shared" si="29"/>
        <v>1.0494987468671724E-2</v>
      </c>
      <c r="AP237" s="30">
        <f t="shared" si="29"/>
        <v>2.2167105875058102E-2</v>
      </c>
      <c r="AQ237" s="30">
        <f t="shared" si="29"/>
        <v>2.0397330906885003E-2</v>
      </c>
      <c r="AR237" s="30">
        <f t="shared" si="29"/>
        <v>2.0063907260162051E-2</v>
      </c>
      <c r="AS237" s="30">
        <f t="shared" si="29"/>
        <v>2.2364682742041175E-2</v>
      </c>
      <c r="AT237" s="30">
        <f t="shared" si="29"/>
        <v>2.8003420265070522E-2</v>
      </c>
      <c r="AU237" s="30">
        <f t="shared" si="29"/>
        <v>3.0637000069314579E-2</v>
      </c>
      <c r="AV237" s="30">
        <f t="shared" si="29"/>
        <v>3.9276346761718983E-2</v>
      </c>
      <c r="AW237" s="30">
        <f t="shared" si="29"/>
        <v>4.562220927975158E-2</v>
      </c>
      <c r="AX237" s="30">
        <f t="shared" si="29"/>
        <v>4.7344968436687784E-2</v>
      </c>
      <c r="AY237" s="30">
        <f t="shared" si="29"/>
        <v>3.705016840985631E-2</v>
      </c>
      <c r="AZ237" s="30">
        <f t="shared" si="29"/>
        <v>2.9002849002849107E-2</v>
      </c>
      <c r="BA237" s="30">
        <f t="shared" si="29"/>
        <v>1.7387452239880474E-2</v>
      </c>
      <c r="BB237" s="30">
        <f t="shared" si="29"/>
        <v>9.415990856147527E-3</v>
      </c>
      <c r="BC237" s="30">
        <f t="shared" si="29"/>
        <v>9.7055968942094673E-4</v>
      </c>
      <c r="BD237" s="30">
        <f t="shared" si="29"/>
        <v>-2.7472527472527375E-3</v>
      </c>
      <c r="BE237" s="30">
        <f t="shared" si="29"/>
        <v>-6.1578350348403532E-3</v>
      </c>
      <c r="BF237" s="30">
        <f t="shared" si="29"/>
        <v>-8.9135279091254738E-3</v>
      </c>
      <c r="BG237" s="30">
        <f t="shared" si="29"/>
        <v>-6.2517137373183651E-3</v>
      </c>
      <c r="BH237" s="30">
        <f t="shared" si="29"/>
        <v>-1.0705810937586269E-2</v>
      </c>
      <c r="BI237" s="30">
        <f t="shared" si="29"/>
        <v>-1.4391699670887492E-2</v>
      </c>
      <c r="BJ237" s="30">
        <f t="shared" si="29"/>
        <v>-1.1149470824608043E-2</v>
      </c>
      <c r="BK237" s="30">
        <f t="shared" si="29"/>
        <v>-4.4642857142856984E-3</v>
      </c>
      <c r="BL237" s="30">
        <f t="shared" si="29"/>
        <v>-1.023341382085774E-2</v>
      </c>
      <c r="BM237" s="30">
        <f t="shared" si="29"/>
        <v>-3.0204460966543056E-3</v>
      </c>
      <c r="BN237" s="30">
        <f t="shared" si="29"/>
        <v>1.4681892332789603E-2</v>
      </c>
      <c r="BO237" s="30">
        <f t="shared" si="29"/>
        <v>2.026871841984379E-2</v>
      </c>
    </row>
    <row r="238" spans="1:67" x14ac:dyDescent="0.2">
      <c r="C238" s="3" t="s">
        <v>449</v>
      </c>
      <c r="F238" s="30">
        <f>SUM(F$174:F$204)/SUM(E$174:E$204)-1</f>
        <v>3.1622625027298623E-2</v>
      </c>
      <c r="G238" s="30">
        <f t="shared" ref="G238:BO238" si="30">SUM(G$174:G$204)/SUM(F$174:F$204)-1</f>
        <v>2.2312544984969707E-2</v>
      </c>
      <c r="H238" s="30">
        <f t="shared" si="30"/>
        <v>2.9694359314172081E-2</v>
      </c>
      <c r="I238" s="30">
        <f t="shared" si="30"/>
        <v>3.1532799742589379E-2</v>
      </c>
      <c r="J238" s="30">
        <f t="shared" si="30"/>
        <v>3.3766132491129586E-2</v>
      </c>
      <c r="K238" s="30">
        <f t="shared" si="30"/>
        <v>4.443103383245961E-2</v>
      </c>
      <c r="L238" s="30">
        <f t="shared" si="30"/>
        <v>4.2035318334476823E-2</v>
      </c>
      <c r="M238" s="30">
        <f t="shared" si="30"/>
        <v>4.2834863975047544E-2</v>
      </c>
      <c r="N238" s="30">
        <f t="shared" si="30"/>
        <v>4.1108637134026793E-2</v>
      </c>
      <c r="O238" s="30">
        <f t="shared" si="30"/>
        <v>3.8049029622063246E-2</v>
      </c>
      <c r="P238" s="30">
        <f t="shared" si="30"/>
        <v>3.5670356703566997E-2</v>
      </c>
      <c r="Q238" s="30">
        <f t="shared" si="30"/>
        <v>3.3937054631828945E-2</v>
      </c>
      <c r="R238" s="30">
        <f t="shared" si="30"/>
        <v>3.4546133302702176E-2</v>
      </c>
      <c r="S238" s="30">
        <f t="shared" si="30"/>
        <v>3.3531338477766015E-2</v>
      </c>
      <c r="T238" s="30">
        <f t="shared" si="30"/>
        <v>3.4484610839555341E-2</v>
      </c>
      <c r="U238" s="30">
        <f t="shared" si="30"/>
        <v>3.3828339996884615E-2</v>
      </c>
      <c r="V238" s="30">
        <f t="shared" si="30"/>
        <v>3.2294517967906389E-2</v>
      </c>
      <c r="W238" s="30">
        <f t="shared" si="30"/>
        <v>3.3351983847033306E-2</v>
      </c>
      <c r="X238" s="30">
        <f t="shared" si="30"/>
        <v>3.2440322049060777E-2</v>
      </c>
      <c r="Y238" s="30">
        <f t="shared" si="30"/>
        <v>3.2629514775629254E-2</v>
      </c>
      <c r="Z238" s="30">
        <f t="shared" si="30"/>
        <v>3.2570053216154804E-2</v>
      </c>
      <c r="AA238" s="30">
        <f t="shared" si="30"/>
        <v>2.9874684572943844E-2</v>
      </c>
      <c r="AB238" s="30">
        <f t="shared" si="30"/>
        <v>2.769991071243183E-2</v>
      </c>
      <c r="AC238" s="30">
        <f t="shared" si="30"/>
        <v>2.428626270381673E-2</v>
      </c>
      <c r="AD238" s="30">
        <f t="shared" si="30"/>
        <v>2.1915376269849185E-2</v>
      </c>
      <c r="AE238" s="30">
        <f t="shared" si="30"/>
        <v>2.0441647685596198E-2</v>
      </c>
      <c r="AF238" s="30">
        <f t="shared" si="30"/>
        <v>2.0013241274945637E-2</v>
      </c>
      <c r="AG238" s="30">
        <f t="shared" si="30"/>
        <v>1.9323850675963872E-2</v>
      </c>
      <c r="AH238" s="30">
        <f t="shared" si="30"/>
        <v>1.7829527881379148E-2</v>
      </c>
      <c r="AI238" s="30">
        <f t="shared" si="30"/>
        <v>1.7785324872642727E-2</v>
      </c>
      <c r="AJ238" s="30">
        <f t="shared" si="30"/>
        <v>1.6174920969441509E-2</v>
      </c>
      <c r="AK238" s="30">
        <f t="shared" si="30"/>
        <v>1.3601562364978115E-2</v>
      </c>
      <c r="AL238" s="30">
        <f t="shared" si="30"/>
        <v>1.1304733324239535E-2</v>
      </c>
      <c r="AM238" s="30">
        <f t="shared" si="30"/>
        <v>8.6661833386725284E-3</v>
      </c>
      <c r="AN238" s="30">
        <f t="shared" si="30"/>
        <v>6.4020058503970745E-3</v>
      </c>
      <c r="AO238" s="30">
        <f t="shared" si="30"/>
        <v>6.1619718309859906E-3</v>
      </c>
      <c r="AP238" s="30">
        <f t="shared" si="30"/>
        <v>4.3414384522688643E-3</v>
      </c>
      <c r="AQ238" s="30">
        <f t="shared" si="30"/>
        <v>4.8814963347687534E-3</v>
      </c>
      <c r="AR238" s="30">
        <f t="shared" si="30"/>
        <v>5.0049886324603499E-3</v>
      </c>
      <c r="AS238" s="30">
        <f t="shared" si="30"/>
        <v>5.5659532915615095E-3</v>
      </c>
      <c r="AT238" s="30">
        <f t="shared" si="30"/>
        <v>5.4542217618593902E-3</v>
      </c>
      <c r="AU238" s="30">
        <f t="shared" si="30"/>
        <v>6.5675101410083148E-3</v>
      </c>
      <c r="AV238" s="30">
        <f t="shared" si="30"/>
        <v>6.6845774963217863E-3</v>
      </c>
      <c r="AW238" s="30">
        <f t="shared" si="30"/>
        <v>6.9261318506750325E-3</v>
      </c>
      <c r="AX238" s="30">
        <f t="shared" si="30"/>
        <v>8.2037042880132027E-3</v>
      </c>
      <c r="AY238" s="30">
        <f t="shared" si="30"/>
        <v>9.5296216317717342E-3</v>
      </c>
      <c r="AZ238" s="30">
        <f t="shared" si="30"/>
        <v>1.1516701542277019E-2</v>
      </c>
      <c r="BA238" s="30">
        <f t="shared" si="30"/>
        <v>1.3776088755401705E-2</v>
      </c>
      <c r="BB238" s="30">
        <f t="shared" si="30"/>
        <v>1.5795758574300489E-2</v>
      </c>
      <c r="BC238" s="30">
        <f t="shared" si="30"/>
        <v>1.7960774976935268E-2</v>
      </c>
      <c r="BD238" s="30">
        <f t="shared" si="30"/>
        <v>1.716148459997946E-2</v>
      </c>
      <c r="BE238" s="30">
        <f t="shared" si="30"/>
        <v>1.7101878332351328E-2</v>
      </c>
      <c r="BF238" s="30">
        <f t="shared" si="30"/>
        <v>1.6701284388114024E-2</v>
      </c>
      <c r="BG238" s="30">
        <f t="shared" si="30"/>
        <v>1.6677089847821458E-2</v>
      </c>
      <c r="BH238" s="30">
        <f t="shared" si="30"/>
        <v>1.6512883603307937E-2</v>
      </c>
      <c r="BI238" s="30">
        <f t="shared" si="30"/>
        <v>1.4940225649852756E-2</v>
      </c>
      <c r="BJ238" s="30">
        <f t="shared" si="30"/>
        <v>1.432281315419881E-2</v>
      </c>
      <c r="BK238" s="30">
        <f t="shared" si="30"/>
        <v>1.3402129188165413E-2</v>
      </c>
      <c r="BL238" s="30">
        <f t="shared" si="30"/>
        <v>1.4217398589860819E-2</v>
      </c>
      <c r="BM238" s="30">
        <f t="shared" si="30"/>
        <v>1.3077626963550415E-2</v>
      </c>
      <c r="BN238" s="30">
        <f t="shared" si="30"/>
        <v>1.098942456061125E-2</v>
      </c>
      <c r="BO238" s="30">
        <f t="shared" si="30"/>
        <v>1.1105734033180603E-2</v>
      </c>
    </row>
    <row r="239" spans="1:67" x14ac:dyDescent="0.2">
      <c r="C239" s="3" t="s">
        <v>474</v>
      </c>
      <c r="F239" s="30">
        <f>SUM(F$134:F$148)/SUM(E$134:E$148)-1</f>
        <v>-4.8515427906070663E-4</v>
      </c>
      <c r="G239" s="30">
        <f t="shared" ref="G239:BO239" si="31">SUM(G$134:G$148)/SUM(F$134:F$148)-1</f>
        <v>-4.1015435394622379E-3</v>
      </c>
      <c r="H239" s="30">
        <f t="shared" si="31"/>
        <v>-3.1436578530522619E-3</v>
      </c>
      <c r="I239" s="30">
        <f t="shared" si="31"/>
        <v>-5.304845254974766E-3</v>
      </c>
      <c r="J239" s="30">
        <f t="shared" si="31"/>
        <v>-1.2386640123866366E-2</v>
      </c>
      <c r="K239" s="30">
        <f t="shared" si="31"/>
        <v>-1.2094064949608074E-2</v>
      </c>
      <c r="L239" s="30">
        <f t="shared" si="31"/>
        <v>-1.6373208393158922E-3</v>
      </c>
      <c r="M239" s="30">
        <f t="shared" si="31"/>
        <v>2.646717464802939E-2</v>
      </c>
      <c r="N239" s="30">
        <f t="shared" si="31"/>
        <v>3.9598849642356715E-2</v>
      </c>
      <c r="O239" s="30">
        <f t="shared" si="31"/>
        <v>3.6411784177424744E-2</v>
      </c>
      <c r="P239" s="30">
        <f t="shared" si="31"/>
        <v>2.6417849158187678E-2</v>
      </c>
      <c r="Q239" s="30">
        <f t="shared" si="31"/>
        <v>2.760490753911804E-2</v>
      </c>
      <c r="R239" s="30">
        <f t="shared" si="31"/>
        <v>2.526279361508843E-2</v>
      </c>
      <c r="S239" s="30">
        <f t="shared" si="31"/>
        <v>2.4302772034935138E-2</v>
      </c>
      <c r="T239" s="30">
        <f t="shared" si="31"/>
        <v>2.2263871153767045E-2</v>
      </c>
      <c r="U239" s="30">
        <f t="shared" si="31"/>
        <v>1.9341190692051979E-2</v>
      </c>
      <c r="V239" s="30">
        <f t="shared" si="31"/>
        <v>1.6226899891293556E-2</v>
      </c>
      <c r="W239" s="30">
        <f t="shared" si="31"/>
        <v>1.3906177065504899E-2</v>
      </c>
      <c r="X239" s="30">
        <f t="shared" si="31"/>
        <v>1.4348468281828453E-2</v>
      </c>
      <c r="Y239" s="30">
        <f t="shared" si="31"/>
        <v>1.0590215397416669E-2</v>
      </c>
      <c r="Z239" s="30">
        <f t="shared" si="31"/>
        <v>5.3518965549506081E-3</v>
      </c>
      <c r="AA239" s="30">
        <f t="shared" si="31"/>
        <v>2.9781293624941974E-3</v>
      </c>
      <c r="AB239" s="30">
        <f t="shared" si="31"/>
        <v>5.1962512758652046E-4</v>
      </c>
      <c r="AC239" s="30">
        <f t="shared" si="31"/>
        <v>-3.0419379370467681E-3</v>
      </c>
      <c r="AD239" s="30">
        <f t="shared" si="31"/>
        <v>-5.2093992446371473E-3</v>
      </c>
      <c r="AE239" s="30">
        <f t="shared" si="31"/>
        <v>-1.8889449961659865E-3</v>
      </c>
      <c r="AF239" s="30">
        <f t="shared" si="31"/>
        <v>-1.8737820416725448E-5</v>
      </c>
      <c r="AG239" s="30">
        <f t="shared" si="31"/>
        <v>8.4321771881490371E-4</v>
      </c>
      <c r="AH239" s="30">
        <f t="shared" si="31"/>
        <v>4.8678199655505239E-4</v>
      </c>
      <c r="AI239" s="30">
        <f t="shared" si="31"/>
        <v>-1.1789363374378192E-3</v>
      </c>
      <c r="AJ239" s="30">
        <f t="shared" si="31"/>
        <v>-4.8711943793910972E-4</v>
      </c>
      <c r="AK239" s="30">
        <f t="shared" si="31"/>
        <v>-6.748017769779846E-4</v>
      </c>
      <c r="AL239" s="30">
        <f t="shared" si="31"/>
        <v>-7.8780034888303874E-4</v>
      </c>
      <c r="AM239" s="30">
        <f t="shared" si="31"/>
        <v>-3.2287736291790603E-3</v>
      </c>
      <c r="AN239" s="30">
        <f t="shared" si="31"/>
        <v>-7.9097534793504121E-4</v>
      </c>
      <c r="AO239" s="30">
        <f t="shared" si="31"/>
        <v>2.7140622349548504E-3</v>
      </c>
      <c r="AP239" s="30">
        <f t="shared" si="31"/>
        <v>2.8946824307813923E-3</v>
      </c>
      <c r="AQ239" s="30">
        <f t="shared" si="31"/>
        <v>2.4177677818386645E-3</v>
      </c>
      <c r="AR239" s="30">
        <f t="shared" si="31"/>
        <v>3.421584025129043E-3</v>
      </c>
      <c r="AS239" s="30">
        <f t="shared" si="31"/>
        <v>3.0186147912125705E-3</v>
      </c>
      <c r="AT239" s="30">
        <f t="shared" si="31"/>
        <v>5.5732040349987244E-4</v>
      </c>
      <c r="AU239" s="30">
        <f t="shared" si="31"/>
        <v>-1.4296589242280833E-3</v>
      </c>
      <c r="AV239" s="30">
        <f t="shared" si="31"/>
        <v>-1.5060801011490543E-3</v>
      </c>
      <c r="AW239" s="30">
        <f t="shared" si="31"/>
        <v>-1.4897301726224388E-3</v>
      </c>
      <c r="AX239" s="30">
        <f t="shared" si="31"/>
        <v>3.3568937543115851E-4</v>
      </c>
      <c r="AY239" s="30">
        <f t="shared" si="31"/>
        <v>1.4355226607505323E-3</v>
      </c>
      <c r="AZ239" s="30">
        <f t="shared" si="31"/>
        <v>2.4759848089954684E-3</v>
      </c>
      <c r="BA239" s="30">
        <f t="shared" si="31"/>
        <v>3.8626529740570792E-3</v>
      </c>
      <c r="BB239" s="30">
        <f t="shared" si="31"/>
        <v>4.6432469430415235E-3</v>
      </c>
      <c r="BC239" s="30">
        <f t="shared" si="31"/>
        <v>3.7379391618177493E-3</v>
      </c>
      <c r="BD239" s="30">
        <f t="shared" si="31"/>
        <v>3.0085670782042939E-3</v>
      </c>
      <c r="BE239" s="30">
        <f t="shared" si="31"/>
        <v>2.3045267489711918E-3</v>
      </c>
      <c r="BF239" s="30">
        <f t="shared" si="31"/>
        <v>1.660553639532214E-3</v>
      </c>
      <c r="BG239" s="30">
        <f t="shared" si="31"/>
        <v>1.0566202725350582E-3</v>
      </c>
      <c r="BH239" s="30">
        <f t="shared" si="31"/>
        <v>6.0054595086445062E-4</v>
      </c>
      <c r="BI239" s="30">
        <f t="shared" si="31"/>
        <v>2.5462415655752579E-4</v>
      </c>
      <c r="BJ239" s="30">
        <f t="shared" si="31"/>
        <v>-7.2731239885825971E-5</v>
      </c>
      <c r="BK239" s="30">
        <f t="shared" si="31"/>
        <v>-2.909461204153585E-4</v>
      </c>
      <c r="BL239" s="30">
        <f t="shared" si="31"/>
        <v>-4.0016734270698073E-4</v>
      </c>
      <c r="BM239" s="30">
        <f t="shared" si="31"/>
        <v>-4.1852424711130709E-4</v>
      </c>
      <c r="BN239" s="30">
        <f t="shared" si="31"/>
        <v>-4.1869948299710913E-4</v>
      </c>
      <c r="BO239" s="30">
        <f t="shared" si="31"/>
        <v>-3.6423901364079914E-4</v>
      </c>
    </row>
    <row r="240" spans="1:67" x14ac:dyDescent="0.2">
      <c r="C240" s="3" t="s">
        <v>475</v>
      </c>
      <c r="F240" s="30">
        <f>SUM(F$149:F$158)/SUM(E$149:E$158)-1</f>
        <v>4.3596551611104761E-3</v>
      </c>
      <c r="G240" s="30">
        <f t="shared" ref="G240:BO240" si="32">SUM(G$149:G$158)/SUM(F$149:F$158)-1</f>
        <v>2.7415143603133352E-3</v>
      </c>
      <c r="H240" s="30">
        <f t="shared" si="32"/>
        <v>7.1605259731799542E-4</v>
      </c>
      <c r="I240" s="30">
        <f t="shared" si="32"/>
        <v>-1.6587523580302577E-3</v>
      </c>
      <c r="J240" s="30">
        <f t="shared" si="32"/>
        <v>-4.5610034207526073E-3</v>
      </c>
      <c r="K240" s="30">
        <f t="shared" si="32"/>
        <v>-8.7056128293241386E-3</v>
      </c>
      <c r="L240" s="30">
        <f t="shared" si="32"/>
        <v>-8.6830202383704203E-3</v>
      </c>
      <c r="M240" s="30">
        <f t="shared" si="32"/>
        <v>-6.3944581362819219E-3</v>
      </c>
      <c r="N240" s="30">
        <f t="shared" si="32"/>
        <v>-3.5194744251525467E-3</v>
      </c>
      <c r="O240" s="30">
        <f t="shared" si="32"/>
        <v>-8.6111204547747455E-3</v>
      </c>
      <c r="P240" s="30">
        <f t="shared" si="32"/>
        <v>-1.1196688494554352E-2</v>
      </c>
      <c r="Q240" s="30">
        <f t="shared" si="32"/>
        <v>-1.4754829633188082E-2</v>
      </c>
      <c r="R240" s="30">
        <f t="shared" si="32"/>
        <v>-1.4557865775084444E-2</v>
      </c>
      <c r="S240" s="30">
        <f t="shared" si="32"/>
        <v>-1.2122283088884966E-2</v>
      </c>
      <c r="T240" s="30">
        <f t="shared" si="32"/>
        <v>-1.2199484831139085E-2</v>
      </c>
      <c r="U240" s="30">
        <f t="shared" si="32"/>
        <v>-9.9235811814132324E-3</v>
      </c>
      <c r="V240" s="30">
        <f t="shared" si="32"/>
        <v>-2.5606321103266438E-3</v>
      </c>
      <c r="W240" s="30">
        <f t="shared" si="32"/>
        <v>1.9070671507683823E-3</v>
      </c>
      <c r="X240" s="30">
        <f t="shared" si="32"/>
        <v>7.833376038654416E-3</v>
      </c>
      <c r="Y240" s="30">
        <f t="shared" si="32"/>
        <v>1.4709621181854482E-2</v>
      </c>
      <c r="Z240" s="30">
        <f t="shared" si="32"/>
        <v>1.8469468107953357E-2</v>
      </c>
      <c r="AA240" s="30">
        <f t="shared" si="32"/>
        <v>2.5620299430660021E-2</v>
      </c>
      <c r="AB240" s="30">
        <f t="shared" si="32"/>
        <v>2.933214542713225E-2</v>
      </c>
      <c r="AC240" s="30">
        <f t="shared" si="32"/>
        <v>3.2657545191251414E-2</v>
      </c>
      <c r="AD240" s="30">
        <f t="shared" si="32"/>
        <v>3.481624758220514E-2</v>
      </c>
      <c r="AE240" s="30">
        <f t="shared" si="32"/>
        <v>3.1931464174454804E-2</v>
      </c>
      <c r="AF240" s="30">
        <f t="shared" si="32"/>
        <v>2.8860377358490563E-2</v>
      </c>
      <c r="AG240" s="30">
        <f t="shared" si="32"/>
        <v>2.6290308382969974E-2</v>
      </c>
      <c r="AH240" s="30">
        <f t="shared" si="32"/>
        <v>2.5102210023729921E-2</v>
      </c>
      <c r="AI240" s="30">
        <f t="shared" si="32"/>
        <v>2.1698507878956885E-2</v>
      </c>
      <c r="AJ240" s="30">
        <f t="shared" si="32"/>
        <v>1.5395954467283701E-2</v>
      </c>
      <c r="AK240" s="30">
        <f t="shared" si="32"/>
        <v>1.0296529289996581E-2</v>
      </c>
      <c r="AL240" s="30">
        <f t="shared" si="32"/>
        <v>3.3528472591803915E-3</v>
      </c>
      <c r="AM240" s="30">
        <f t="shared" si="32"/>
        <v>1.0608391237469927E-3</v>
      </c>
      <c r="AN240" s="30">
        <f t="shared" si="32"/>
        <v>-5.5105176707466175E-3</v>
      </c>
      <c r="AO240" s="30">
        <f t="shared" si="32"/>
        <v>-9.0308487399435311E-3</v>
      </c>
      <c r="AP240" s="30">
        <f t="shared" si="32"/>
        <v>-9.1400306459851199E-3</v>
      </c>
      <c r="AQ240" s="30">
        <f t="shared" si="32"/>
        <v>-7.3252122955045351E-3</v>
      </c>
      <c r="AR240" s="30">
        <f t="shared" si="32"/>
        <v>-8.7184672989150114E-3</v>
      </c>
      <c r="AS240" s="30">
        <f t="shared" si="32"/>
        <v>-7.5268817204301453E-3</v>
      </c>
      <c r="AT240" s="30">
        <f t="shared" si="32"/>
        <v>-7.2228241242322522E-4</v>
      </c>
      <c r="AU240" s="30">
        <f t="shared" si="32"/>
        <v>3.8920241305495651E-3</v>
      </c>
      <c r="AV240" s="30">
        <f t="shared" si="32"/>
        <v>6.3692503669241507E-3</v>
      </c>
      <c r="AW240" s="30">
        <f t="shared" si="32"/>
        <v>4.5403263531549332E-3</v>
      </c>
      <c r="AX240" s="30">
        <f t="shared" si="32"/>
        <v>4.2458773900180269E-3</v>
      </c>
      <c r="AY240" s="30">
        <f t="shared" si="32"/>
        <v>6.9828973568641928E-3</v>
      </c>
      <c r="AZ240" s="30">
        <f t="shared" si="32"/>
        <v>4.9299780588889508E-3</v>
      </c>
      <c r="BA240" s="30">
        <f t="shared" si="32"/>
        <v>1.4825197444674476E-3</v>
      </c>
      <c r="BB240" s="30">
        <f t="shared" si="32"/>
        <v>8.6128007751518076E-4</v>
      </c>
      <c r="BC240" s="30">
        <f t="shared" si="32"/>
        <v>6.7229602538598776E-4</v>
      </c>
      <c r="BD240" s="30">
        <f t="shared" si="32"/>
        <v>-2.5530085189863216E-3</v>
      </c>
      <c r="BE240" s="30">
        <f t="shared" si="32"/>
        <v>-5.119086108416826E-3</v>
      </c>
      <c r="BF240" s="30">
        <f t="shared" si="32"/>
        <v>-4.9829388506743566E-3</v>
      </c>
      <c r="BG240" s="30">
        <f t="shared" si="32"/>
        <v>-4.4635566926133352E-3</v>
      </c>
      <c r="BH240" s="30">
        <f t="shared" si="32"/>
        <v>-1.2302476898682357E-3</v>
      </c>
      <c r="BI240" s="30">
        <f t="shared" si="32"/>
        <v>6.8431281307312908E-4</v>
      </c>
      <c r="BJ240" s="30">
        <f t="shared" si="32"/>
        <v>2.6806718091798576E-3</v>
      </c>
      <c r="BK240" s="30">
        <f t="shared" si="32"/>
        <v>5.1287647315583218E-3</v>
      </c>
      <c r="BL240" s="30">
        <f t="shared" si="32"/>
        <v>6.676799478883888E-3</v>
      </c>
      <c r="BM240" s="30">
        <f t="shared" si="32"/>
        <v>5.8506335939605414E-3</v>
      </c>
      <c r="BN240" s="30">
        <f t="shared" si="32"/>
        <v>5.0928780121692885E-3</v>
      </c>
      <c r="BO240" s="30">
        <f t="shared" si="32"/>
        <v>4.2670080273088384E-3</v>
      </c>
    </row>
    <row r="241" spans="1:67" x14ac:dyDescent="0.2">
      <c r="C241" s="3" t="s">
        <v>476</v>
      </c>
      <c r="F241" s="30">
        <f>SUM(F$159:F$184)/SUM(E$159:E$184)-1</f>
        <v>2.6251312565628293E-2</v>
      </c>
      <c r="G241" s="30">
        <f t="shared" ref="G241:BO241" si="33">SUM(G$159:G$184)/SUM(F$159:F$184)-1</f>
        <v>2.6061311291228684E-2</v>
      </c>
      <c r="H241" s="30">
        <f t="shared" si="33"/>
        <v>2.8938466652327799E-2</v>
      </c>
      <c r="I241" s="30">
        <f t="shared" si="33"/>
        <v>2.9416794937574764E-2</v>
      </c>
      <c r="J241" s="30">
        <f t="shared" si="33"/>
        <v>2.8483875136142922E-2</v>
      </c>
      <c r="K241" s="30">
        <f t="shared" si="33"/>
        <v>2.7964245970492074E-2</v>
      </c>
      <c r="L241" s="30">
        <f t="shared" si="33"/>
        <v>2.6959072496158587E-2</v>
      </c>
      <c r="M241" s="30">
        <f t="shared" si="33"/>
        <v>2.6659412404787863E-2</v>
      </c>
      <c r="N241" s="30">
        <f t="shared" si="33"/>
        <v>2.5354398516163279E-2</v>
      </c>
      <c r="O241" s="30">
        <f t="shared" si="33"/>
        <v>1.9898247597512686E-2</v>
      </c>
      <c r="P241" s="30">
        <f t="shared" si="33"/>
        <v>1.5962753574991773E-2</v>
      </c>
      <c r="Q241" s="30">
        <f t="shared" si="33"/>
        <v>1.5758709375730762E-2</v>
      </c>
      <c r="R241" s="30">
        <f t="shared" si="33"/>
        <v>1.8245710953564753E-2</v>
      </c>
      <c r="S241" s="30">
        <f t="shared" si="33"/>
        <v>1.4769045286715299E-2</v>
      </c>
      <c r="T241" s="30">
        <f t="shared" si="33"/>
        <v>1.4747159723769165E-2</v>
      </c>
      <c r="U241" s="30">
        <f t="shared" si="33"/>
        <v>1.2527807048354989E-2</v>
      </c>
      <c r="V241" s="30">
        <f t="shared" si="33"/>
        <v>6.4176688251618152E-3</v>
      </c>
      <c r="W241" s="30">
        <f t="shared" si="33"/>
        <v>5.2421439650716106E-3</v>
      </c>
      <c r="X241" s="30">
        <f t="shared" si="33"/>
        <v>3.514637178003488E-3</v>
      </c>
      <c r="Y241" s="30">
        <f t="shared" si="33"/>
        <v>2.3206480730078027E-3</v>
      </c>
      <c r="Z241" s="30">
        <f t="shared" si="33"/>
        <v>2.1306212891678555E-3</v>
      </c>
      <c r="AA241" s="30">
        <f t="shared" si="33"/>
        <v>9.6382809842388006E-4</v>
      </c>
      <c r="AB241" s="30">
        <f t="shared" si="33"/>
        <v>1.4160294534126816E-3</v>
      </c>
      <c r="AC241" s="30">
        <f t="shared" si="33"/>
        <v>1.0746606334841591E-3</v>
      </c>
      <c r="AD241" s="30">
        <f t="shared" si="33"/>
        <v>1.497259732188283E-3</v>
      </c>
      <c r="AE241" s="30">
        <f t="shared" si="33"/>
        <v>6.9109475050077585E-4</v>
      </c>
      <c r="AF241" s="30">
        <f t="shared" si="33"/>
        <v>1.282575298445332E-3</v>
      </c>
      <c r="AG241" s="30">
        <f t="shared" si="33"/>
        <v>1.7876748965399702E-3</v>
      </c>
      <c r="AH241" s="30">
        <f t="shared" si="33"/>
        <v>7.7280838567350685E-4</v>
      </c>
      <c r="AI241" s="30">
        <f t="shared" si="33"/>
        <v>1.8111872402561957E-3</v>
      </c>
      <c r="AJ241" s="30">
        <f t="shared" si="33"/>
        <v>2.2704020854062978E-3</v>
      </c>
      <c r="AK241" s="30">
        <f t="shared" si="33"/>
        <v>3.4538208767391776E-3</v>
      </c>
      <c r="AL241" s="30">
        <f t="shared" si="33"/>
        <v>6.3404029988016752E-3</v>
      </c>
      <c r="AM241" s="30">
        <f t="shared" si="33"/>
        <v>8.9729565060858718E-3</v>
      </c>
      <c r="AN241" s="30">
        <f t="shared" si="33"/>
        <v>1.2337885130035087E-2</v>
      </c>
      <c r="AO241" s="30">
        <f t="shared" si="33"/>
        <v>1.2268857437232272E-2</v>
      </c>
      <c r="AP241" s="30">
        <f t="shared" si="33"/>
        <v>1.2669246943175949E-2</v>
      </c>
      <c r="AQ241" s="30">
        <f t="shared" si="33"/>
        <v>1.1796601203464929E-2</v>
      </c>
      <c r="AR241" s="30">
        <f t="shared" si="33"/>
        <v>1.1541427581789998E-2</v>
      </c>
      <c r="AS241" s="30">
        <f t="shared" si="33"/>
        <v>1.1694017314898497E-2</v>
      </c>
      <c r="AT241" s="30">
        <f t="shared" si="33"/>
        <v>9.6047001724248737E-3</v>
      </c>
      <c r="AU241" s="30">
        <f t="shared" si="33"/>
        <v>9.4121219021594538E-3</v>
      </c>
      <c r="AV241" s="30">
        <f t="shared" si="33"/>
        <v>9.6000802095475013E-3</v>
      </c>
      <c r="AW241" s="30">
        <f t="shared" si="33"/>
        <v>1.1370830592003278E-2</v>
      </c>
      <c r="AX241" s="30">
        <f t="shared" si="33"/>
        <v>1.1476194567525466E-2</v>
      </c>
      <c r="AY241" s="30">
        <f t="shared" si="33"/>
        <v>1.0314532569653423E-2</v>
      </c>
      <c r="AZ241" s="30">
        <f t="shared" si="33"/>
        <v>1.0413413726008347E-2</v>
      </c>
      <c r="BA241" s="30">
        <f t="shared" si="33"/>
        <v>1.1494799405646461E-2</v>
      </c>
      <c r="BB241" s="30">
        <f t="shared" si="33"/>
        <v>1.0447515630141568E-2</v>
      </c>
      <c r="BC241" s="30">
        <f t="shared" si="33"/>
        <v>1.0397645991556237E-2</v>
      </c>
      <c r="BD241" s="30">
        <f t="shared" si="33"/>
        <v>1.1292086330935147E-2</v>
      </c>
      <c r="BE241" s="30">
        <f t="shared" si="33"/>
        <v>1.2292842833727891E-2</v>
      </c>
      <c r="BF241" s="30">
        <f t="shared" si="33"/>
        <v>1.1322748943060068E-2</v>
      </c>
      <c r="BG241" s="30">
        <f t="shared" si="33"/>
        <v>1.0862435097784173E-2</v>
      </c>
      <c r="BH241" s="30">
        <f t="shared" si="33"/>
        <v>9.2938847338319697E-3</v>
      </c>
      <c r="BI241" s="30">
        <f t="shared" si="33"/>
        <v>7.551898872119045E-3</v>
      </c>
      <c r="BJ241" s="30">
        <f t="shared" si="33"/>
        <v>5.7431482402821032E-3</v>
      </c>
      <c r="BK241" s="30">
        <f t="shared" si="33"/>
        <v>3.4520212068094303E-3</v>
      </c>
      <c r="BL241" s="30">
        <f t="shared" si="33"/>
        <v>1.0824134605080804E-3</v>
      </c>
      <c r="BM241" s="30">
        <f t="shared" si="33"/>
        <v>-1.4987528235432812E-4</v>
      </c>
      <c r="BN241" s="30">
        <f t="shared" si="33"/>
        <v>-1.413321627033004E-3</v>
      </c>
      <c r="BO241" s="30">
        <f t="shared" si="33"/>
        <v>-8.4704873210739162E-4</v>
      </c>
    </row>
    <row r="243" spans="1:67" x14ac:dyDescent="0.2">
      <c r="A243" s="2" t="s">
        <v>450</v>
      </c>
    </row>
    <row r="244" spans="1:67" x14ac:dyDescent="0.2">
      <c r="A244" s="2"/>
      <c r="C244" s="3" t="s">
        <v>451</v>
      </c>
      <c r="F244" s="30">
        <f>SUM(F$25:F$74,F$124:F$173)/SUM(E$25:E$74,E$124:E$173)-1</f>
        <v>8.1050314397652645E-3</v>
      </c>
      <c r="G244" s="30">
        <f t="shared" ref="G244:BO244" si="34">SUM(G$25:G$74,G$124:G$173)/SUM(F$25:F$74,F$124:F$173)-1</f>
        <v>7.8190121328269857E-3</v>
      </c>
      <c r="H244" s="30">
        <f t="shared" si="34"/>
        <v>8.440518731377411E-3</v>
      </c>
      <c r="I244" s="30">
        <f t="shared" si="34"/>
        <v>9.1094217147023038E-3</v>
      </c>
      <c r="J244" s="30">
        <f t="shared" si="34"/>
        <v>4.9078177751225027E-3</v>
      </c>
      <c r="K244" s="30">
        <f t="shared" si="34"/>
        <v>6.8781733783573884E-4</v>
      </c>
      <c r="L244" s="30">
        <f t="shared" si="34"/>
        <v>4.1862392926221847E-3</v>
      </c>
      <c r="M244" s="30">
        <f t="shared" si="34"/>
        <v>1.4064499263926944E-2</v>
      </c>
      <c r="N244" s="30">
        <f t="shared" si="34"/>
        <v>1.8177131208428232E-2</v>
      </c>
      <c r="O244" s="30">
        <f t="shared" si="34"/>
        <v>1.1869544939702825E-2</v>
      </c>
      <c r="P244" s="30">
        <f t="shared" si="34"/>
        <v>5.0569066612233815E-3</v>
      </c>
      <c r="Q244" s="30">
        <f t="shared" si="34"/>
        <v>4.805440269392891E-3</v>
      </c>
      <c r="R244" s="30">
        <f t="shared" si="34"/>
        <v>4.5542566162231068E-3</v>
      </c>
      <c r="S244" s="30">
        <f t="shared" si="34"/>
        <v>4.0760296355912828E-3</v>
      </c>
      <c r="T244" s="30">
        <f t="shared" si="34"/>
        <v>3.9140397997408094E-3</v>
      </c>
      <c r="U244" s="30">
        <f t="shared" si="34"/>
        <v>4.3881394674993857E-3</v>
      </c>
      <c r="V244" s="30">
        <f t="shared" si="34"/>
        <v>5.0196651633314104E-3</v>
      </c>
      <c r="W244" s="30">
        <f t="shared" si="34"/>
        <v>4.0824267475496612E-3</v>
      </c>
      <c r="X244" s="30">
        <f t="shared" si="34"/>
        <v>4.1071218700268197E-3</v>
      </c>
      <c r="Y244" s="30">
        <f t="shared" si="34"/>
        <v>2.8787265273066964E-3</v>
      </c>
      <c r="Z244" s="30">
        <f t="shared" si="34"/>
        <v>2.0787200888265911E-3</v>
      </c>
      <c r="AA244" s="30">
        <f t="shared" si="34"/>
        <v>1.8131395960099272E-3</v>
      </c>
      <c r="AB244" s="30">
        <f t="shared" si="34"/>
        <v>1.5804836971378133E-3</v>
      </c>
      <c r="AC244" s="30">
        <f t="shared" si="34"/>
        <v>2.0203287739992692E-3</v>
      </c>
      <c r="AD244" s="30">
        <f t="shared" si="34"/>
        <v>2.4921416137555497E-3</v>
      </c>
      <c r="AE244" s="30">
        <f t="shared" si="34"/>
        <v>2.5983760149905777E-3</v>
      </c>
      <c r="AF244" s="30">
        <f t="shared" si="34"/>
        <v>2.5791821376062174E-3</v>
      </c>
      <c r="AG244" s="30">
        <f t="shared" si="34"/>
        <v>2.476231902069248E-3</v>
      </c>
      <c r="AH244" s="30">
        <f t="shared" si="34"/>
        <v>2.7583470992416093E-3</v>
      </c>
      <c r="AI244" s="30">
        <f t="shared" si="34"/>
        <v>2.3767798805118812E-3</v>
      </c>
      <c r="AJ244" s="30">
        <f t="shared" si="34"/>
        <v>2.8151555889934787E-3</v>
      </c>
      <c r="AK244" s="30">
        <f t="shared" si="34"/>
        <v>3.5697923616897498E-3</v>
      </c>
      <c r="AL244" s="30">
        <f t="shared" si="34"/>
        <v>4.246453629094038E-3</v>
      </c>
      <c r="AM244" s="30">
        <f t="shared" si="34"/>
        <v>4.9973152396758369E-3</v>
      </c>
      <c r="AN244" s="30">
        <f t="shared" si="34"/>
        <v>5.6828185808739384E-3</v>
      </c>
      <c r="AO244" s="30">
        <f t="shared" si="34"/>
        <v>5.6748549591592035E-3</v>
      </c>
      <c r="AP244" s="30">
        <f t="shared" si="34"/>
        <v>5.9099668033353314E-3</v>
      </c>
      <c r="AQ244" s="30">
        <f t="shared" si="34"/>
        <v>5.4575022006058127E-3</v>
      </c>
      <c r="AR244" s="30">
        <f t="shared" si="34"/>
        <v>5.3062048171317322E-3</v>
      </c>
      <c r="AS244" s="30">
        <f t="shared" si="34"/>
        <v>4.9741403740790613E-3</v>
      </c>
      <c r="AT244" s="30">
        <f t="shared" si="34"/>
        <v>4.6352188510649928E-3</v>
      </c>
      <c r="AU244" s="30">
        <f t="shared" si="34"/>
        <v>4.11970235223591E-3</v>
      </c>
      <c r="AV244" s="30">
        <f t="shared" si="34"/>
        <v>3.8960585165859207E-3</v>
      </c>
      <c r="AW244" s="30">
        <f t="shared" si="34"/>
        <v>3.5676785724645388E-3</v>
      </c>
      <c r="AX244" s="30">
        <f t="shared" si="34"/>
        <v>3.1330204166570841E-3</v>
      </c>
      <c r="AY244" s="30">
        <f t="shared" si="34"/>
        <v>2.5613986562020852E-3</v>
      </c>
      <c r="AZ244" s="30">
        <f t="shared" si="34"/>
        <v>1.7185636486427569E-3</v>
      </c>
      <c r="BA244" s="30">
        <f t="shared" si="34"/>
        <v>1.0528943117886769E-3</v>
      </c>
      <c r="BB244" s="30">
        <f t="shared" si="34"/>
        <v>1.5189292981410141E-4</v>
      </c>
      <c r="BC244" s="30">
        <f t="shared" si="34"/>
        <v>-5.7882475650672394E-4</v>
      </c>
      <c r="BD244" s="30">
        <f t="shared" si="34"/>
        <v>-2.179017779064818E-4</v>
      </c>
      <c r="BE244" s="30">
        <f t="shared" si="34"/>
        <v>-2.236847765303418E-4</v>
      </c>
      <c r="BF244" s="30">
        <f t="shared" si="34"/>
        <v>-3.4420741939045207E-5</v>
      </c>
      <c r="BG244" s="30">
        <f t="shared" si="34"/>
        <v>-8.031782912376606E-5</v>
      </c>
      <c r="BH244" s="30">
        <f t="shared" si="34"/>
        <v>9.4667902130529669E-5</v>
      </c>
      <c r="BI244" s="30">
        <f t="shared" si="34"/>
        <v>3.4995123630321423E-4</v>
      </c>
      <c r="BJ244" s="30">
        <f t="shared" si="34"/>
        <v>5.8495965498850389E-4</v>
      </c>
      <c r="BK244" s="30">
        <f t="shared" si="34"/>
        <v>1.0517386644350868E-3</v>
      </c>
      <c r="BL244" s="30">
        <f t="shared" si="34"/>
        <v>5.9545450641684816E-4</v>
      </c>
      <c r="BM244" s="30">
        <f t="shared" si="34"/>
        <v>1.0013704469831186E-3</v>
      </c>
      <c r="BN244" s="30">
        <f t="shared" si="34"/>
        <v>1.7777981027293777E-3</v>
      </c>
      <c r="BO244" s="30">
        <f t="shared" si="34"/>
        <v>1.8402649981597019E-3</v>
      </c>
    </row>
    <row r="245" spans="1:67" x14ac:dyDescent="0.2">
      <c r="C245" s="3" t="s">
        <v>449</v>
      </c>
      <c r="F245" s="30">
        <f>SUM(F$75:F$105,F$174:F$204)/SUM(E$75:E$105,E$174:E$204)-1</f>
        <v>2.6718527060571207E-2</v>
      </c>
      <c r="G245" s="30">
        <f t="shared" ref="G245:BO245" si="35">SUM(G$75:G$105,G$174:G$204)/SUM(F$75:F$105,F$174:F$204)-1</f>
        <v>1.8522748905387409E-2</v>
      </c>
      <c r="H245" s="30">
        <f t="shared" si="35"/>
        <v>2.4877109694783517E-2</v>
      </c>
      <c r="I245" s="30">
        <f t="shared" si="35"/>
        <v>2.755589597694863E-2</v>
      </c>
      <c r="J245" s="30">
        <f t="shared" si="35"/>
        <v>2.9461354157423125E-2</v>
      </c>
      <c r="K245" s="30">
        <f t="shared" si="35"/>
        <v>3.9513835014223009E-2</v>
      </c>
      <c r="L245" s="30">
        <f t="shared" si="35"/>
        <v>3.8177687115445114E-2</v>
      </c>
      <c r="M245" s="30">
        <f t="shared" si="35"/>
        <v>3.9122030703365951E-2</v>
      </c>
      <c r="N245" s="30">
        <f t="shared" si="35"/>
        <v>3.9540031976386558E-2</v>
      </c>
      <c r="O245" s="30">
        <f t="shared" si="35"/>
        <v>3.6527654540077004E-2</v>
      </c>
      <c r="P245" s="30">
        <f t="shared" si="35"/>
        <v>3.4783849336567307E-2</v>
      </c>
      <c r="Q245" s="30">
        <f t="shared" si="35"/>
        <v>3.3711118464593071E-2</v>
      </c>
      <c r="R245" s="30">
        <f t="shared" si="35"/>
        <v>3.4492417270217235E-2</v>
      </c>
      <c r="S245" s="30">
        <f t="shared" si="35"/>
        <v>3.3754947846155847E-2</v>
      </c>
      <c r="T245" s="30">
        <f t="shared" si="35"/>
        <v>3.4299113212018506E-2</v>
      </c>
      <c r="U245" s="30">
        <f t="shared" si="35"/>
        <v>3.4041988737081974E-2</v>
      </c>
      <c r="V245" s="30">
        <f t="shared" si="35"/>
        <v>3.2827988338192338E-2</v>
      </c>
      <c r="W245" s="30">
        <f t="shared" si="35"/>
        <v>3.3941173149664161E-2</v>
      </c>
      <c r="X245" s="30">
        <f t="shared" si="35"/>
        <v>3.304539646831417E-2</v>
      </c>
      <c r="Y245" s="30">
        <f t="shared" si="35"/>
        <v>3.3584574563675362E-2</v>
      </c>
      <c r="Z245" s="30">
        <f t="shared" si="35"/>
        <v>3.3362652647943136E-2</v>
      </c>
      <c r="AA245" s="30">
        <f t="shared" si="35"/>
        <v>3.1246288451640902E-2</v>
      </c>
      <c r="AB245" s="30">
        <f t="shared" si="35"/>
        <v>2.8687147889013609E-2</v>
      </c>
      <c r="AC245" s="30">
        <f t="shared" si="35"/>
        <v>2.5004198466160421E-2</v>
      </c>
      <c r="AD245" s="30">
        <f t="shared" si="35"/>
        <v>2.3028890790264045E-2</v>
      </c>
      <c r="AE245" s="30">
        <f t="shared" si="35"/>
        <v>2.2065627446793412E-2</v>
      </c>
      <c r="AF245" s="30">
        <f t="shared" si="35"/>
        <v>2.1397729646911445E-2</v>
      </c>
      <c r="AG245" s="30">
        <f t="shared" si="35"/>
        <v>2.0744907525781953E-2</v>
      </c>
      <c r="AH245" s="30">
        <f t="shared" si="35"/>
        <v>1.9363080725426585E-2</v>
      </c>
      <c r="AI245" s="30">
        <f t="shared" si="35"/>
        <v>1.9560462963721381E-2</v>
      </c>
      <c r="AJ245" s="30">
        <f t="shared" si="35"/>
        <v>1.7658731752777657E-2</v>
      </c>
      <c r="AK245" s="30">
        <f t="shared" si="35"/>
        <v>1.5102353377700828E-2</v>
      </c>
      <c r="AL245" s="30">
        <f t="shared" si="35"/>
        <v>1.2505638425285071E-2</v>
      </c>
      <c r="AM245" s="30">
        <f t="shared" si="35"/>
        <v>9.9393194561794296E-3</v>
      </c>
      <c r="AN245" s="30">
        <f t="shared" si="35"/>
        <v>7.4381673815826499E-3</v>
      </c>
      <c r="AO245" s="30">
        <f t="shared" si="35"/>
        <v>6.8321480877535645E-3</v>
      </c>
      <c r="AP245" s="30">
        <f t="shared" si="35"/>
        <v>5.4736179114773797E-3</v>
      </c>
      <c r="AQ245" s="30">
        <f t="shared" si="35"/>
        <v>5.9360015511160658E-3</v>
      </c>
      <c r="AR245" s="30">
        <f t="shared" si="35"/>
        <v>5.6118553223665213E-3</v>
      </c>
      <c r="AS245" s="30">
        <f t="shared" si="35"/>
        <v>5.5952819756726058E-3</v>
      </c>
      <c r="AT245" s="30">
        <f t="shared" si="35"/>
        <v>5.6741124119377151E-3</v>
      </c>
      <c r="AU245" s="30">
        <f t="shared" si="35"/>
        <v>6.4002099385491729E-3</v>
      </c>
      <c r="AV245" s="30">
        <f t="shared" si="35"/>
        <v>6.2798328275182058E-3</v>
      </c>
      <c r="AW245" s="30">
        <f t="shared" si="35"/>
        <v>6.4061960152022035E-3</v>
      </c>
      <c r="AX245" s="30">
        <f t="shared" si="35"/>
        <v>7.0591769300090146E-3</v>
      </c>
      <c r="AY245" s="30">
        <f t="shared" si="35"/>
        <v>7.9613650083447673E-3</v>
      </c>
      <c r="AZ245" s="30">
        <f t="shared" si="35"/>
        <v>9.7163310457561991E-3</v>
      </c>
      <c r="BA245" s="30">
        <f t="shared" si="35"/>
        <v>1.0990544642545563E-2</v>
      </c>
      <c r="BB245" s="30">
        <f t="shared" si="35"/>
        <v>1.2817504141358294E-2</v>
      </c>
      <c r="BC245" s="30">
        <f t="shared" si="35"/>
        <v>1.4236354838929488E-2</v>
      </c>
      <c r="BD245" s="30">
        <f t="shared" si="35"/>
        <v>1.3223495894534532E-2</v>
      </c>
      <c r="BE245" s="30">
        <f t="shared" si="35"/>
        <v>1.3011127763704167E-2</v>
      </c>
      <c r="BF245" s="30">
        <f t="shared" si="35"/>
        <v>1.2320301657545274E-2</v>
      </c>
      <c r="BG245" s="30">
        <f t="shared" si="35"/>
        <v>1.2319093625111632E-2</v>
      </c>
      <c r="BH245" s="30">
        <f t="shared" si="35"/>
        <v>1.1805063145589489E-2</v>
      </c>
      <c r="BI245" s="30">
        <f t="shared" si="35"/>
        <v>1.1149623400319442E-2</v>
      </c>
      <c r="BJ245" s="30">
        <f t="shared" si="35"/>
        <v>1.0652047678215704E-2</v>
      </c>
      <c r="BK245" s="30">
        <f t="shared" si="35"/>
        <v>9.6439581621494685E-3</v>
      </c>
      <c r="BL245" s="30">
        <f t="shared" si="35"/>
        <v>1.0647150969257835E-2</v>
      </c>
      <c r="BM245" s="30">
        <f t="shared" si="35"/>
        <v>9.8568695357341696E-3</v>
      </c>
      <c r="BN245" s="30">
        <f t="shared" si="35"/>
        <v>8.2737781188546577E-3</v>
      </c>
      <c r="BO245" s="30">
        <f t="shared" si="35"/>
        <v>8.170206693147497E-3</v>
      </c>
    </row>
  </sheetData>
  <hyperlinks>
    <hyperlink ref="I2" r:id="rId1"/>
    <hyperlink ref="I3" r:id="rId2"/>
  </hyperlink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O153"/>
  <sheetViews>
    <sheetView zoomScale="90" zoomScaleNormal="90" workbookViewId="0">
      <selection activeCell="K12" sqref="K12"/>
    </sheetView>
  </sheetViews>
  <sheetFormatPr defaultColWidth="8.7109375" defaultRowHeight="12.75" x14ac:dyDescent="0.2"/>
  <cols>
    <col min="1" max="9" width="8.7109375" style="3"/>
    <col min="10" max="10" width="8.7109375" style="3" customWidth="1"/>
    <col min="11" max="16384" width="8.7109375" style="3"/>
  </cols>
  <sheetData>
    <row r="1" spans="1:67" ht="15.75" x14ac:dyDescent="0.25">
      <c r="A1" s="1" t="s">
        <v>108</v>
      </c>
    </row>
    <row r="2" spans="1:67" ht="15" x14ac:dyDescent="0.25">
      <c r="A2" s="4" t="s">
        <v>114</v>
      </c>
      <c r="I2" s="6" t="s">
        <v>105</v>
      </c>
      <c r="J2" s="4" t="s">
        <v>115</v>
      </c>
    </row>
    <row r="3" spans="1:67" ht="15" x14ac:dyDescent="0.25">
      <c r="A3" s="4" t="s">
        <v>116</v>
      </c>
      <c r="I3" s="6"/>
      <c r="J3" s="4" t="s">
        <v>117</v>
      </c>
    </row>
    <row r="4" spans="1:67" ht="15" x14ac:dyDescent="0.25">
      <c r="A4" s="4" t="s">
        <v>109</v>
      </c>
      <c r="I4" s="6" t="s">
        <v>107</v>
      </c>
      <c r="J4" s="4" t="s">
        <v>1147</v>
      </c>
    </row>
    <row r="5" spans="1:67" x14ac:dyDescent="0.2">
      <c r="J5" s="4" t="s">
        <v>1148</v>
      </c>
    </row>
    <row r="6" spans="1:67" x14ac:dyDescent="0.2">
      <c r="A6" s="2" t="s">
        <v>100</v>
      </c>
      <c r="E6" s="8" t="s">
        <v>42</v>
      </c>
      <c r="F6" s="8" t="s">
        <v>43</v>
      </c>
      <c r="G6" s="8" t="s">
        <v>44</v>
      </c>
      <c r="H6" s="8" t="s">
        <v>45</v>
      </c>
      <c r="I6" s="8" t="s">
        <v>46</v>
      </c>
      <c r="J6" s="8" t="s">
        <v>47</v>
      </c>
      <c r="K6" s="8" t="s">
        <v>48</v>
      </c>
      <c r="L6" s="8" t="s">
        <v>49</v>
      </c>
      <c r="M6" s="8" t="s">
        <v>50</v>
      </c>
      <c r="N6" s="8" t="s">
        <v>51</v>
      </c>
      <c r="O6" s="8" t="s">
        <v>52</v>
      </c>
      <c r="P6" s="8" t="s">
        <v>53</v>
      </c>
      <c r="Q6" s="8" t="s">
        <v>54</v>
      </c>
      <c r="R6" s="8" t="s">
        <v>55</v>
      </c>
      <c r="S6" s="8" t="s">
        <v>56</v>
      </c>
      <c r="T6" s="8" t="s">
        <v>57</v>
      </c>
      <c r="U6" s="8" t="s">
        <v>58</v>
      </c>
      <c r="V6" s="8" t="s">
        <v>59</v>
      </c>
      <c r="W6" s="8" t="s">
        <v>60</v>
      </c>
      <c r="X6" s="8" t="s">
        <v>61</v>
      </c>
      <c r="Y6" s="8" t="s">
        <v>62</v>
      </c>
      <c r="Z6" s="8" t="s">
        <v>63</v>
      </c>
      <c r="AA6" s="8" t="s">
        <v>64</v>
      </c>
      <c r="AB6" s="8" t="s">
        <v>65</v>
      </c>
      <c r="AC6" s="8" t="s">
        <v>66</v>
      </c>
      <c r="AD6" s="8" t="s">
        <v>67</v>
      </c>
      <c r="AE6" s="8" t="s">
        <v>68</v>
      </c>
      <c r="AF6" s="8" t="s">
        <v>69</v>
      </c>
      <c r="AG6" s="8" t="s">
        <v>97</v>
      </c>
      <c r="AH6" s="8" t="s">
        <v>96</v>
      </c>
      <c r="AI6" s="8" t="s">
        <v>95</v>
      </c>
      <c r="AJ6" s="8" t="s">
        <v>94</v>
      </c>
      <c r="AK6" s="8" t="s">
        <v>93</v>
      </c>
      <c r="AL6" s="8" t="s">
        <v>92</v>
      </c>
      <c r="AM6" s="8" t="s">
        <v>91</v>
      </c>
      <c r="AN6" s="8" t="s">
        <v>90</v>
      </c>
      <c r="AO6" s="8" t="s">
        <v>89</v>
      </c>
      <c r="AP6" s="8" t="s">
        <v>88</v>
      </c>
      <c r="AQ6" s="8" t="s">
        <v>87</v>
      </c>
      <c r="AR6" s="8" t="s">
        <v>86</v>
      </c>
      <c r="AS6" s="8" t="s">
        <v>85</v>
      </c>
      <c r="AT6" s="8" t="s">
        <v>84</v>
      </c>
      <c r="AU6" s="8" t="s">
        <v>83</v>
      </c>
      <c r="AV6" s="8" t="s">
        <v>82</v>
      </c>
      <c r="AW6" s="8" t="s">
        <v>81</v>
      </c>
      <c r="AX6" s="8" t="s">
        <v>80</v>
      </c>
      <c r="AY6" s="8" t="s">
        <v>79</v>
      </c>
      <c r="AZ6" s="8" t="s">
        <v>78</v>
      </c>
      <c r="BA6" s="8" t="s">
        <v>77</v>
      </c>
      <c r="BB6" s="8" t="s">
        <v>76</v>
      </c>
      <c r="BC6" s="8" t="s">
        <v>75</v>
      </c>
      <c r="BD6" s="8" t="s">
        <v>74</v>
      </c>
      <c r="BE6" s="8" t="s">
        <v>73</v>
      </c>
      <c r="BF6" s="8" t="s">
        <v>72</v>
      </c>
      <c r="BG6" s="8" t="s">
        <v>71</v>
      </c>
      <c r="BH6" s="8" t="s">
        <v>70</v>
      </c>
      <c r="BI6" s="8" t="s">
        <v>1140</v>
      </c>
      <c r="BJ6" s="8" t="s">
        <v>1141</v>
      </c>
      <c r="BK6" s="8" t="s">
        <v>1142</v>
      </c>
      <c r="BL6" s="8" t="s">
        <v>1146</v>
      </c>
      <c r="BM6" s="8" t="s">
        <v>1145</v>
      </c>
      <c r="BN6" s="8" t="s">
        <v>1143</v>
      </c>
      <c r="BO6" s="8" t="s">
        <v>1144</v>
      </c>
    </row>
    <row r="7" spans="1:67" x14ac:dyDescent="0.2">
      <c r="E7" s="7">
        <v>2006</v>
      </c>
      <c r="F7" s="7">
        <v>2007</v>
      </c>
      <c r="G7" s="7">
        <v>2008</v>
      </c>
      <c r="H7" s="7">
        <v>2009</v>
      </c>
      <c r="I7" s="7">
        <v>2010</v>
      </c>
      <c r="J7" s="7">
        <v>2011</v>
      </c>
      <c r="K7" s="7">
        <v>2012</v>
      </c>
      <c r="L7" s="7">
        <v>2013</v>
      </c>
      <c r="M7" s="7">
        <v>2014</v>
      </c>
      <c r="N7" s="7">
        <v>2015</v>
      </c>
      <c r="O7" s="7">
        <v>2016</v>
      </c>
      <c r="P7" s="7">
        <v>2017</v>
      </c>
      <c r="Q7" s="7">
        <v>2018</v>
      </c>
      <c r="R7" s="7">
        <v>2019</v>
      </c>
      <c r="S7" s="7">
        <v>2020</v>
      </c>
      <c r="T7" s="7">
        <v>2021</v>
      </c>
      <c r="U7" s="7">
        <v>2022</v>
      </c>
      <c r="V7" s="7">
        <v>2023</v>
      </c>
      <c r="W7" s="7">
        <v>2024</v>
      </c>
      <c r="X7" s="7">
        <v>2025</v>
      </c>
      <c r="Y7" s="7">
        <v>2026</v>
      </c>
      <c r="Z7" s="7">
        <v>2027</v>
      </c>
      <c r="AA7" s="7">
        <v>2028</v>
      </c>
      <c r="AB7" s="7">
        <v>2029</v>
      </c>
      <c r="AC7" s="7">
        <v>2030</v>
      </c>
      <c r="AD7" s="7">
        <v>2031</v>
      </c>
      <c r="AE7" s="7">
        <v>2032</v>
      </c>
      <c r="AF7" s="7">
        <v>2033</v>
      </c>
      <c r="AG7" s="7">
        <v>2034</v>
      </c>
      <c r="AH7" s="7">
        <v>2035</v>
      </c>
      <c r="AI7" s="7">
        <v>2036</v>
      </c>
      <c r="AJ7" s="7">
        <v>2037</v>
      </c>
      <c r="AK7" s="7">
        <v>2038</v>
      </c>
      <c r="AL7" s="7">
        <v>2039</v>
      </c>
      <c r="AM7" s="7">
        <v>2040</v>
      </c>
      <c r="AN7" s="7">
        <v>2041</v>
      </c>
      <c r="AO7" s="7">
        <v>2042</v>
      </c>
      <c r="AP7" s="7">
        <v>2043</v>
      </c>
      <c r="AQ7" s="7">
        <v>2044</v>
      </c>
      <c r="AR7" s="7">
        <v>2045</v>
      </c>
      <c r="AS7" s="7">
        <v>2046</v>
      </c>
      <c r="AT7" s="7">
        <v>2047</v>
      </c>
      <c r="AU7" s="7">
        <v>2048</v>
      </c>
      <c r="AV7" s="7">
        <v>2049</v>
      </c>
      <c r="AW7" s="7">
        <v>2050</v>
      </c>
      <c r="AX7" s="7">
        <v>2051</v>
      </c>
      <c r="AY7" s="7">
        <v>2052</v>
      </c>
      <c r="AZ7" s="7">
        <v>2053</v>
      </c>
      <c r="BA7" s="7">
        <v>2054</v>
      </c>
      <c r="BB7" s="7">
        <v>2055</v>
      </c>
      <c r="BC7" s="7">
        <v>2056</v>
      </c>
      <c r="BD7" s="7">
        <v>2057</v>
      </c>
      <c r="BE7" s="7">
        <v>2058</v>
      </c>
      <c r="BF7" s="7">
        <v>2059</v>
      </c>
      <c r="BG7" s="7">
        <v>2060</v>
      </c>
      <c r="BH7" s="7">
        <v>2061</v>
      </c>
      <c r="BI7" s="7">
        <v>2062</v>
      </c>
      <c r="BJ7" s="7">
        <v>2063</v>
      </c>
      <c r="BK7" s="7">
        <v>2064</v>
      </c>
      <c r="BL7" s="7">
        <v>2065</v>
      </c>
      <c r="BM7" s="7">
        <v>2066</v>
      </c>
      <c r="BN7" s="7">
        <v>2067</v>
      </c>
      <c r="BO7" s="7">
        <v>2068</v>
      </c>
    </row>
    <row r="8" spans="1:67" x14ac:dyDescent="0.2">
      <c r="A8" s="2" t="s">
        <v>111</v>
      </c>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row>
    <row r="9" spans="1:67" x14ac:dyDescent="0.2">
      <c r="A9" s="3" t="s">
        <v>112</v>
      </c>
      <c r="E9" s="18">
        <v>3225.1</v>
      </c>
      <c r="F9" s="18">
        <v>3272.6</v>
      </c>
      <c r="G9" s="18">
        <v>3304.6</v>
      </c>
      <c r="H9" s="18">
        <v>3335.8</v>
      </c>
      <c r="I9" s="18">
        <v>3376.7</v>
      </c>
      <c r="J9" s="18">
        <v>3411.6</v>
      </c>
      <c r="K9" s="18">
        <v>3437</v>
      </c>
      <c r="L9" s="18">
        <v>3463.9</v>
      </c>
      <c r="M9" s="18">
        <v>3513</v>
      </c>
      <c r="N9" s="18">
        <v>3585.7</v>
      </c>
      <c r="O9" s="16">
        <v>3666.3</v>
      </c>
      <c r="P9" s="16">
        <v>3727.7</v>
      </c>
      <c r="Q9" s="16">
        <v>3769.3</v>
      </c>
      <c r="R9" s="16">
        <v>3809</v>
      </c>
      <c r="S9" s="16">
        <v>3848.8</v>
      </c>
      <c r="T9" s="14">
        <f t="shared" ref="T9:BH9" si="0">S$9*T$13/S$13</f>
        <v>3887.932535885167</v>
      </c>
      <c r="U9" s="14">
        <f t="shared" si="0"/>
        <v>3929.287949976384</v>
      </c>
      <c r="V9" s="14">
        <f t="shared" si="0"/>
        <v>3972.5698585128439</v>
      </c>
      <c r="W9" s="14">
        <f t="shared" si="0"/>
        <v>4014.9132184734167</v>
      </c>
      <c r="X9" s="14">
        <f t="shared" si="0"/>
        <v>4057.5826005708764</v>
      </c>
      <c r="Y9" s="14">
        <f t="shared" si="0"/>
        <v>4097.9599482514313</v>
      </c>
      <c r="Z9" s="14">
        <f t="shared" si="0"/>
        <v>4136.6973057888572</v>
      </c>
      <c r="AA9" s="14">
        <f t="shared" si="0"/>
        <v>4173.5773250918937</v>
      </c>
      <c r="AB9" s="14">
        <f t="shared" si="0"/>
        <v>4208.0763948497852</v>
      </c>
      <c r="AC9" s="14">
        <f t="shared" si="0"/>
        <v>4240.9157155471585</v>
      </c>
      <c r="AD9" s="14">
        <f t="shared" si="0"/>
        <v>4273.7747951619194</v>
      </c>
      <c r="AE9" s="14">
        <f t="shared" si="0"/>
        <v>4306.4955623549704</v>
      </c>
      <c r="AF9" s="14">
        <f t="shared" si="0"/>
        <v>4338.9594636219881</v>
      </c>
      <c r="AG9" s="14">
        <f t="shared" si="0"/>
        <v>4370.8799946608615</v>
      </c>
      <c r="AH9" s="14">
        <f t="shared" si="0"/>
        <v>4402.583177608476</v>
      </c>
      <c r="AI9" s="14">
        <f t="shared" si="0"/>
        <v>4433.7726287040259</v>
      </c>
      <c r="AJ9" s="14">
        <f t="shared" si="0"/>
        <v>4464.5076246996714</v>
      </c>
      <c r="AK9" s="14">
        <f t="shared" si="0"/>
        <v>4494.8770807236569</v>
      </c>
      <c r="AL9" s="14">
        <f t="shared" si="0"/>
        <v>4524.4561800521569</v>
      </c>
      <c r="AM9" s="14">
        <f t="shared" si="0"/>
        <v>4553.4227529416567</v>
      </c>
      <c r="AN9" s="14">
        <f t="shared" si="0"/>
        <v>4581.5792102182859</v>
      </c>
      <c r="AO9" s="14">
        <f t="shared" si="0"/>
        <v>4609.0935026798343</v>
      </c>
      <c r="AP9" s="14">
        <f t="shared" si="0"/>
        <v>4635.7581616937359</v>
      </c>
      <c r="AQ9" s="14">
        <f t="shared" si="0"/>
        <v>4661.691740764315</v>
      </c>
      <c r="AR9" s="14">
        <f t="shared" si="0"/>
        <v>4686.8349631394112</v>
      </c>
      <c r="AS9" s="14">
        <f t="shared" si="0"/>
        <v>4710.9803601864569</v>
      </c>
      <c r="AT9" s="14">
        <f t="shared" si="0"/>
        <v>4734.2168470336956</v>
      </c>
      <c r="AU9" s="14">
        <f t="shared" si="0"/>
        <v>4756.8111690658543</v>
      </c>
      <c r="AV9" s="14">
        <f t="shared" si="0"/>
        <v>4778.5953754851407</v>
      </c>
      <c r="AW9" s="14">
        <f t="shared" si="0"/>
        <v>4799.5398279154761</v>
      </c>
      <c r="AX9" s="14">
        <f t="shared" si="0"/>
        <v>4820.0001868698264</v>
      </c>
      <c r="AY9" s="14">
        <f t="shared" si="0"/>
        <v>4839.8578988438694</v>
      </c>
      <c r="AZ9" s="14">
        <f t="shared" si="0"/>
        <v>4859.389588681026</v>
      </c>
      <c r="BA9" s="14">
        <f t="shared" si="0"/>
        <v>4878.5754974639085</v>
      </c>
      <c r="BB9" s="14">
        <f t="shared" si="0"/>
        <v>4897.4452635685957</v>
      </c>
      <c r="BC9" s="14">
        <f t="shared" si="0"/>
        <v>4916.087802123332</v>
      </c>
      <c r="BD9" s="14">
        <f t="shared" si="0"/>
        <v>4934.7797379715366</v>
      </c>
      <c r="BE9" s="14">
        <f t="shared" si="0"/>
        <v>4953.3926381501924</v>
      </c>
      <c r="BF9" s="14">
        <f t="shared" si="0"/>
        <v>4971.8672259071382</v>
      </c>
      <c r="BG9" s="14">
        <f t="shared" si="0"/>
        <v>4990.4109698749398</v>
      </c>
      <c r="BH9" s="14">
        <f t="shared" si="0"/>
        <v>5008.994231677515</v>
      </c>
      <c r="BI9" s="14">
        <f t="shared" ref="BI9:BO9" si="1">BH$9*BI$13/BH$13</f>
        <v>5027.6466496909452</v>
      </c>
      <c r="BJ9" s="14">
        <f t="shared" si="1"/>
        <v>5046.5164157956342</v>
      </c>
      <c r="BK9" s="14">
        <f t="shared" si="1"/>
        <v>5065.5640121568058</v>
      </c>
      <c r="BL9" s="14">
        <f t="shared" si="1"/>
        <v>5084.8091976918495</v>
      </c>
      <c r="BM9" s="14">
        <f t="shared" si="1"/>
        <v>5104.350766987699</v>
      </c>
      <c r="BN9" s="14">
        <f t="shared" si="1"/>
        <v>5124.1294432921941</v>
      </c>
      <c r="BO9" s="14">
        <f t="shared" si="1"/>
        <v>5144.0760703944807</v>
      </c>
    </row>
    <row r="10" spans="1:67" x14ac:dyDescent="0.2">
      <c r="A10" s="3" t="s">
        <v>113</v>
      </c>
      <c r="E10" s="18">
        <v>2198.3000000000002</v>
      </c>
      <c r="F10" s="18">
        <v>2233.5</v>
      </c>
      <c r="G10" s="18">
        <v>2261.3000000000002</v>
      </c>
      <c r="H10" s="18">
        <v>2286.5</v>
      </c>
      <c r="I10" s="18">
        <v>2295.5</v>
      </c>
      <c r="J10" s="18">
        <v>2327.5</v>
      </c>
      <c r="K10" s="18">
        <v>2349</v>
      </c>
      <c r="L10" s="18">
        <v>2354.8000000000002</v>
      </c>
      <c r="M10" s="18">
        <v>2412.3000000000002</v>
      </c>
      <c r="N10" s="18">
        <v>2483.8000000000002</v>
      </c>
      <c r="O10" s="16">
        <v>2517.4</v>
      </c>
      <c r="P10" s="16">
        <v>2552.9</v>
      </c>
      <c r="Q10" s="16">
        <v>2586.1</v>
      </c>
      <c r="R10" s="16">
        <v>2625.8</v>
      </c>
      <c r="S10" s="16">
        <v>2655.2</v>
      </c>
      <c r="T10" s="14">
        <f t="shared" ref="T10:BH10" si="2">S$10*T$14/S$14</f>
        <v>2680.549740383005</v>
      </c>
      <c r="U10" s="14">
        <f t="shared" si="2"/>
        <v>2705.6029925743956</v>
      </c>
      <c r="V10" s="14">
        <f t="shared" si="2"/>
        <v>2730.6661277055068</v>
      </c>
      <c r="W10" s="14">
        <f t="shared" si="2"/>
        <v>2755.0868717547874</v>
      </c>
      <c r="X10" s="14">
        <f t="shared" si="2"/>
        <v>2779.3494887685406</v>
      </c>
      <c r="Y10" s="14">
        <f t="shared" si="2"/>
        <v>2802.4459188952783</v>
      </c>
      <c r="Z10" s="14">
        <f t="shared" si="2"/>
        <v>2824.0697910036661</v>
      </c>
      <c r="AA10" s="14">
        <f t="shared" si="2"/>
        <v>2844.2606368525853</v>
      </c>
      <c r="AB10" s="14">
        <f t="shared" si="2"/>
        <v>2862.5440753354542</v>
      </c>
      <c r="AC10" s="14">
        <f t="shared" si="2"/>
        <v>2879.5130828355009</v>
      </c>
      <c r="AD10" s="14">
        <f t="shared" si="2"/>
        <v>2895.4344987251775</v>
      </c>
      <c r="AE10" s="14">
        <f t="shared" si="2"/>
        <v>2910.673991774142</v>
      </c>
      <c r="AF10" s="14">
        <f t="shared" si="2"/>
        <v>2925.4885184151258</v>
      </c>
      <c r="AG10" s="14">
        <f t="shared" si="2"/>
        <v>2939.9077274672909</v>
      </c>
      <c r="AH10" s="14">
        <f t="shared" si="2"/>
        <v>2953.674662497905</v>
      </c>
      <c r="AI10" s="14">
        <f t="shared" si="2"/>
        <v>2966.996865241098</v>
      </c>
      <c r="AJ10" s="14">
        <f t="shared" si="2"/>
        <v>2980.1214091898819</v>
      </c>
      <c r="AK10" s="14">
        <f t="shared" si="2"/>
        <v>2993.2953678372678</v>
      </c>
      <c r="AL10" s="14">
        <f t="shared" si="2"/>
        <v>3006.5385070626971</v>
      </c>
      <c r="AM10" s="14">
        <f t="shared" si="2"/>
        <v>3020.147315057784</v>
      </c>
      <c r="AN10" s="14">
        <f t="shared" si="2"/>
        <v>3034.0921430033673</v>
      </c>
      <c r="AO10" s="14">
        <f t="shared" si="2"/>
        <v>3048.4026397186071</v>
      </c>
      <c r="AP10" s="14">
        <f t="shared" si="2"/>
        <v>3063.2072834198707</v>
      </c>
      <c r="AQ10" s="14">
        <f t="shared" si="2"/>
        <v>3078.1008735786186</v>
      </c>
      <c r="AR10" s="14">
        <f t="shared" si="2"/>
        <v>3093.0834101948508</v>
      </c>
      <c r="AS10" s="14">
        <f t="shared" si="2"/>
        <v>3107.9275856549966</v>
      </c>
      <c r="AT10" s="14">
        <f t="shared" si="2"/>
        <v>3122.4851558632486</v>
      </c>
      <c r="AU10" s="14">
        <f t="shared" si="2"/>
        <v>3136.677057301843</v>
      </c>
      <c r="AV10" s="14">
        <f t="shared" si="2"/>
        <v>3150.2858652969298</v>
      </c>
      <c r="AW10" s="14">
        <f t="shared" si="2"/>
        <v>3163.4202921854344</v>
      </c>
      <c r="AX10" s="14">
        <f t="shared" si="2"/>
        <v>3175.8233815346239</v>
      </c>
      <c r="AY10" s="14">
        <f t="shared" si="2"/>
        <v>3187.6433774403058</v>
      </c>
      <c r="AZ10" s="14">
        <f t="shared" si="2"/>
        <v>3198.5936746505863</v>
      </c>
      <c r="BA10" s="14">
        <f t="shared" si="2"/>
        <v>3208.7829855023906</v>
      </c>
      <c r="BB10" s="14">
        <f t="shared" si="2"/>
        <v>3218.0729488396323</v>
      </c>
      <c r="BC10" s="14">
        <f t="shared" si="2"/>
        <v>3226.4635646623105</v>
      </c>
      <c r="BD10" s="14">
        <f t="shared" si="2"/>
        <v>3234.1524917648362</v>
      </c>
      <c r="BE10" s="14">
        <f t="shared" si="2"/>
        <v>3241.2187936649721</v>
      </c>
      <c r="BF10" s="14">
        <f t="shared" si="2"/>
        <v>3247.5834068449544</v>
      </c>
      <c r="BG10" s="14">
        <f t="shared" si="2"/>
        <v>3253.8590735674525</v>
      </c>
      <c r="BH10" s="14">
        <f t="shared" si="2"/>
        <v>3259.6900080025298</v>
      </c>
      <c r="BI10" s="14">
        <f t="shared" ref="BI10:BO10" si="3">BH$10*BI$14/BH$14</f>
        <v>3265.639537714253</v>
      </c>
      <c r="BJ10" s="14">
        <f t="shared" si="3"/>
        <v>3271.2530474754794</v>
      </c>
      <c r="BK10" s="14">
        <f t="shared" si="3"/>
        <v>3277.0444501516749</v>
      </c>
      <c r="BL10" s="14">
        <f t="shared" si="3"/>
        <v>3282.6579599129013</v>
      </c>
      <c r="BM10" s="14">
        <f t="shared" si="3"/>
        <v>3288.3604161316121</v>
      </c>
      <c r="BN10" s="14">
        <f t="shared" si="3"/>
        <v>3293.9245111942364</v>
      </c>
      <c r="BO10" s="14">
        <f t="shared" si="3"/>
        <v>3299.4984891965814</v>
      </c>
    </row>
    <row r="11" spans="1:67" x14ac:dyDescent="0.2">
      <c r="A11" s="3" t="s">
        <v>118</v>
      </c>
      <c r="E11" s="19">
        <f>E$10/E$9</f>
        <v>0.68162227527828601</v>
      </c>
      <c r="F11" s="19">
        <f t="shared" ref="F11:BO11" si="4">F$10/F$9</f>
        <v>0.68248487441178274</v>
      </c>
      <c r="G11" s="19">
        <f t="shared" si="4"/>
        <v>0.68428856745143141</v>
      </c>
      <c r="H11" s="19">
        <f t="shared" si="4"/>
        <v>0.68544277234846207</v>
      </c>
      <c r="I11" s="19">
        <f t="shared" si="4"/>
        <v>0.67980572748541479</v>
      </c>
      <c r="J11" s="19">
        <f t="shared" si="4"/>
        <v>0.68223121116191821</v>
      </c>
      <c r="K11" s="19">
        <f t="shared" si="4"/>
        <v>0.6834448647075938</v>
      </c>
      <c r="L11" s="19">
        <f t="shared" si="4"/>
        <v>0.67981177285718408</v>
      </c>
      <c r="M11" s="19">
        <f t="shared" si="4"/>
        <v>0.68667805294619988</v>
      </c>
      <c r="N11" s="19">
        <f t="shared" si="4"/>
        <v>0.69269598683660105</v>
      </c>
      <c r="O11" s="17">
        <f t="shared" si="4"/>
        <v>0.68663229959359573</v>
      </c>
      <c r="P11" s="17">
        <f t="shared" si="4"/>
        <v>0.68484588352066966</v>
      </c>
      <c r="Q11" s="17">
        <f t="shared" si="4"/>
        <v>0.68609556151009465</v>
      </c>
      <c r="R11" s="17">
        <f t="shared" si="4"/>
        <v>0.68936728800210034</v>
      </c>
      <c r="S11" s="17">
        <f t="shared" si="4"/>
        <v>0.68987736437331104</v>
      </c>
      <c r="T11" s="15">
        <f t="shared" si="4"/>
        <v>0.68945376897408617</v>
      </c>
      <c r="U11" s="15">
        <f t="shared" si="4"/>
        <v>0.68857335655195673</v>
      </c>
      <c r="V11" s="15">
        <f t="shared" si="4"/>
        <v>0.6873802664172024</v>
      </c>
      <c r="W11" s="15">
        <f t="shared" si="4"/>
        <v>0.68621330570187244</v>
      </c>
      <c r="X11" s="15">
        <f t="shared" si="4"/>
        <v>0.68497668744377593</v>
      </c>
      <c r="Y11" s="15">
        <f t="shared" si="4"/>
        <v>0.6838636673574765</v>
      </c>
      <c r="Z11" s="15">
        <f t="shared" si="4"/>
        <v>0.68268707672946916</v>
      </c>
      <c r="AA11" s="15">
        <f t="shared" si="4"/>
        <v>0.68149225839249561</v>
      </c>
      <c r="AB11" s="15">
        <f t="shared" si="4"/>
        <v>0.68025002560288306</v>
      </c>
      <c r="AC11" s="15">
        <f t="shared" si="4"/>
        <v>0.67898380349301257</v>
      </c>
      <c r="AD11" s="15">
        <f t="shared" si="4"/>
        <v>0.67748878626054954</v>
      </c>
      <c r="AE11" s="15">
        <f t="shared" si="4"/>
        <v>0.67587994684533348</v>
      </c>
      <c r="AF11" s="15">
        <f t="shared" si="4"/>
        <v>0.67423734721251494</v>
      </c>
      <c r="AG11" s="15">
        <f t="shared" si="4"/>
        <v>0.67261231858537895</v>
      </c>
      <c r="AH11" s="15">
        <f t="shared" si="4"/>
        <v>0.67089582259803404</v>
      </c>
      <c r="AI11" s="15">
        <f t="shared" si="4"/>
        <v>0.66918110460444147</v>
      </c>
      <c r="AJ11" s="15">
        <f t="shared" si="4"/>
        <v>0.66751401491678608</v>
      </c>
      <c r="AK11" s="15">
        <f t="shared" si="4"/>
        <v>0.66593486631126286</v>
      </c>
      <c r="AL11" s="15">
        <f t="shared" si="4"/>
        <v>0.66450826075367986</v>
      </c>
      <c r="AM11" s="15">
        <f t="shared" si="4"/>
        <v>0.66326969379389877</v>
      </c>
      <c r="AN11" s="15">
        <f t="shared" si="4"/>
        <v>0.6622371902326688</v>
      </c>
      <c r="AO11" s="15">
        <f t="shared" si="4"/>
        <v>0.66138876070667585</v>
      </c>
      <c r="AP11" s="15">
        <f t="shared" si="4"/>
        <v>0.66077805972102033</v>
      </c>
      <c r="AQ11" s="15">
        <f t="shared" si="4"/>
        <v>0.66029695757487894</v>
      </c>
      <c r="AR11" s="15">
        <f t="shared" si="4"/>
        <v>0.6599514244732424</v>
      </c>
      <c r="AS11" s="15">
        <f t="shared" si="4"/>
        <v>0.65971991985379186</v>
      </c>
      <c r="AT11" s="15">
        <f t="shared" si="4"/>
        <v>0.65955685105968376</v>
      </c>
      <c r="AU11" s="15">
        <f t="shared" si="4"/>
        <v>0.65940752025223348</v>
      </c>
      <c r="AV11" s="15">
        <f t="shared" si="4"/>
        <v>0.65924934374195709</v>
      </c>
      <c r="AW11" s="15">
        <f t="shared" si="4"/>
        <v>0.65910908245538258</v>
      </c>
      <c r="AX11" s="15">
        <f t="shared" si="4"/>
        <v>0.65888449344584921</v>
      </c>
      <c r="AY11" s="15">
        <f t="shared" si="4"/>
        <v>0.65862334061538463</v>
      </c>
      <c r="AZ11" s="15">
        <f t="shared" si="4"/>
        <v>0.65822951962959897</v>
      </c>
      <c r="BA11" s="15">
        <f t="shared" si="4"/>
        <v>0.65772949238367895</v>
      </c>
      <c r="BB11" s="15">
        <f t="shared" si="4"/>
        <v>0.65709217268407738</v>
      </c>
      <c r="BC11" s="15">
        <f t="shared" si="4"/>
        <v>0.65630714798640344</v>
      </c>
      <c r="BD11" s="15">
        <f t="shared" si="4"/>
        <v>0.65537930029157676</v>
      </c>
      <c r="BE11" s="15">
        <f t="shared" si="4"/>
        <v>0.65434320079972119</v>
      </c>
      <c r="BF11" s="15">
        <f t="shared" si="4"/>
        <v>0.65319190140931793</v>
      </c>
      <c r="BG11" s="15">
        <f t="shared" si="4"/>
        <v>0.65202226694548049</v>
      </c>
      <c r="BH11" s="15">
        <f t="shared" si="4"/>
        <v>0.65076737109973826</v>
      </c>
      <c r="BI11" s="15">
        <f t="shared" si="4"/>
        <v>0.64953640644475197</v>
      </c>
      <c r="BJ11" s="15">
        <f t="shared" si="4"/>
        <v>0.64822003496043978</v>
      </c>
      <c r="BK11" s="15">
        <f t="shared" si="4"/>
        <v>0.6469258787939749</v>
      </c>
      <c r="BL11" s="15">
        <f t="shared" si="4"/>
        <v>0.64558134480306562</v>
      </c>
      <c r="BM11" s="15">
        <f t="shared" si="4"/>
        <v>0.64422696758988951</v>
      </c>
      <c r="BN11" s="15">
        <f t="shared" si="4"/>
        <v>0.64282617128382458</v>
      </c>
      <c r="BO11" s="15">
        <f t="shared" si="4"/>
        <v>0.64141712603864254</v>
      </c>
    </row>
    <row r="12" spans="1:67" x14ac:dyDescent="0.2">
      <c r="A12" s="2" t="s">
        <v>122</v>
      </c>
      <c r="E12" s="101"/>
      <c r="F12" s="101"/>
      <c r="G12" s="101"/>
      <c r="H12" s="101"/>
      <c r="I12" s="101"/>
      <c r="J12" s="101"/>
      <c r="K12" s="101"/>
      <c r="L12" s="101"/>
      <c r="M12" s="101"/>
      <c r="N12" s="101"/>
      <c r="O12" s="101"/>
      <c r="P12" s="101"/>
      <c r="Q12" s="101"/>
      <c r="R12" s="101"/>
      <c r="S12" s="101"/>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row>
    <row r="13" spans="1:67" x14ac:dyDescent="0.2">
      <c r="A13" s="3" t="s">
        <v>120</v>
      </c>
      <c r="E13" s="14">
        <f>SUM(Popn!E$25:E$105,Popn!E$124:E$204)/1000</f>
        <v>3296.32</v>
      </c>
      <c r="F13" s="14">
        <f>SUM(Popn!F$25:F$105,Popn!F$124:F$204)/1000</f>
        <v>3332.56</v>
      </c>
      <c r="G13" s="14">
        <f>SUM(Popn!G$25:G$105,Popn!G$124:G$204)/1000</f>
        <v>3364.24</v>
      </c>
      <c r="H13" s="14">
        <f>SUM(Popn!H$25:H$105,Popn!H$124:H$204)/1000</f>
        <v>3401.43</v>
      </c>
      <c r="I13" s="14">
        <f>SUM(Popn!I$25:I$105,Popn!I$124:I$204)/1000</f>
        <v>3442.53</v>
      </c>
      <c r="J13" s="14">
        <f>SUM(Popn!J$25:J$105,Popn!J$124:J$204)/1000</f>
        <v>3473.26</v>
      </c>
      <c r="K13" s="14">
        <f>SUM(Popn!K$25:K$105,Popn!K$124:K$204)/1000</f>
        <v>3498.17</v>
      </c>
      <c r="L13" s="14">
        <f>SUM(Popn!L$25:L$105,Popn!L$124:L$204)/1000</f>
        <v>3533.31</v>
      </c>
      <c r="M13" s="14">
        <f>SUM(Popn!M$25:M$105,Popn!M$124:M$204)/1000</f>
        <v>3598.69</v>
      </c>
      <c r="N13" s="14">
        <f>SUM(Popn!N$25:N$105,Popn!N$124:N$204)/1000</f>
        <v>3678</v>
      </c>
      <c r="O13" s="14">
        <f>SUM(Popn!O$25:O$105,Popn!O$124:O$204)/1000</f>
        <v>3738.33</v>
      </c>
      <c r="P13" s="14">
        <f>SUM(Popn!P$25:P$105,Popn!P$124:P$204)/1000</f>
        <v>3778.07</v>
      </c>
      <c r="Q13" s="14">
        <f>SUM(Popn!Q$25:Q$105,Popn!Q$124:Q$204)/1000</f>
        <v>3817.19</v>
      </c>
      <c r="R13" s="14">
        <f>SUM(Popn!R$25:R$105,Popn!R$124:R$204)/1000</f>
        <v>3857.02</v>
      </c>
      <c r="S13" s="14">
        <f>SUM(Popn!S$25:S$105,Popn!S$124:S$204)/1000</f>
        <v>3895.76</v>
      </c>
      <c r="T13" s="14">
        <f>SUM(Popn!T$25:T$105,Popn!T$124:T$204)/1000</f>
        <v>3935.37</v>
      </c>
      <c r="U13" s="14">
        <f>SUM(Popn!U$25:U$105,Popn!U$124:U$204)/1000</f>
        <v>3977.23</v>
      </c>
      <c r="V13" s="14">
        <f>SUM(Popn!V$25:V$105,Popn!V$124:V$204)/1000</f>
        <v>4021.04</v>
      </c>
      <c r="W13" s="14">
        <f>SUM(Popn!W$25:W$105,Popn!W$124:W$204)/1000</f>
        <v>4063.9</v>
      </c>
      <c r="X13" s="14">
        <f>SUM(Popn!X$25:X$105,Popn!X$124:X$204)/1000</f>
        <v>4107.09</v>
      </c>
      <c r="Y13" s="14">
        <f>SUM(Popn!Y$25:Y$105,Popn!Y$124:Y$204)/1000</f>
        <v>4147.96</v>
      </c>
      <c r="Z13" s="14">
        <f>SUM(Popn!Z$25:Z$105,Popn!Z$124:Z$204)/1000</f>
        <v>4187.17</v>
      </c>
      <c r="AA13" s="14">
        <f>SUM(Popn!AA$25:AA$105,Popn!AA$124:AA$204)/1000</f>
        <v>4224.5</v>
      </c>
      <c r="AB13" s="14">
        <f>SUM(Popn!AB$25:AB$105,Popn!AB$124:AB$204)/1000</f>
        <v>4259.42</v>
      </c>
      <c r="AC13" s="14">
        <f>SUM(Popn!AC$25:AC$105,Popn!AC$124:AC$204)/1000</f>
        <v>4292.66</v>
      </c>
      <c r="AD13" s="14">
        <f>SUM(Popn!AD$25:AD$105,Popn!AD$124:AD$204)/1000</f>
        <v>4325.92</v>
      </c>
      <c r="AE13" s="14">
        <f>SUM(Popn!AE$25:AE$105,Popn!AE$124:AE$204)/1000</f>
        <v>4359.04</v>
      </c>
      <c r="AF13" s="14">
        <f>SUM(Popn!AF$25:AF$105,Popn!AF$124:AF$204)/1000</f>
        <v>4391.8999999999996</v>
      </c>
      <c r="AG13" s="14">
        <f>SUM(Popn!AG$25:AG$105,Popn!AG$124:AG$204)/1000</f>
        <v>4424.21</v>
      </c>
      <c r="AH13" s="14">
        <f>SUM(Popn!AH$25:AH$105,Popn!AH$124:AH$204)/1000</f>
        <v>4456.3</v>
      </c>
      <c r="AI13" s="14">
        <f>SUM(Popn!AI$25:AI$105,Popn!AI$124:AI$204)/1000</f>
        <v>4487.87</v>
      </c>
      <c r="AJ13" s="14">
        <f>SUM(Popn!AJ$25:AJ$105,Popn!AJ$124:AJ$204)/1000</f>
        <v>4518.9799999999996</v>
      </c>
      <c r="AK13" s="14">
        <f>SUM(Popn!AK$25:AK$105,Popn!AK$124:AK$204)/1000</f>
        <v>4549.72</v>
      </c>
      <c r="AL13" s="14">
        <f>SUM(Popn!AL$25:AL$105,Popn!AL$124:AL$204)/1000</f>
        <v>4579.66</v>
      </c>
      <c r="AM13" s="14">
        <f>SUM(Popn!AM$25:AM$105,Popn!AM$124:AM$204)/1000</f>
        <v>4608.9799999999996</v>
      </c>
      <c r="AN13" s="14">
        <f>SUM(Popn!AN$25:AN$105,Popn!AN$124:AN$204)/1000</f>
        <v>4637.4799999999996</v>
      </c>
      <c r="AO13" s="14">
        <f>SUM(Popn!AO$25:AO$105,Popn!AO$124:AO$204)/1000</f>
        <v>4665.33</v>
      </c>
      <c r="AP13" s="14">
        <f>SUM(Popn!AP$25:AP$105,Popn!AP$124:AP$204)/1000</f>
        <v>4692.32</v>
      </c>
      <c r="AQ13" s="14">
        <f>SUM(Popn!AQ$25:AQ$105,Popn!AQ$124:AQ$204)/1000</f>
        <v>4718.57</v>
      </c>
      <c r="AR13" s="14">
        <f>SUM(Popn!AR$25:AR$105,Popn!AR$124:AR$204)/1000</f>
        <v>4744.0200000000004</v>
      </c>
      <c r="AS13" s="14">
        <f>SUM(Popn!AS$25:AS$105,Popn!AS$124:AS$204)/1000</f>
        <v>4768.46</v>
      </c>
      <c r="AT13" s="14">
        <f>SUM(Popn!AT$25:AT$105,Popn!AT$124:AT$204)/1000</f>
        <v>4791.9799999999996</v>
      </c>
      <c r="AU13" s="14">
        <f>SUM(Popn!AU$25:AU$105,Popn!AU$124:AU$204)/1000</f>
        <v>4814.8500000000004</v>
      </c>
      <c r="AV13" s="14">
        <f>SUM(Popn!AV$25:AV$105,Popn!AV$124:AV$204)/1000</f>
        <v>4836.8999999999996</v>
      </c>
      <c r="AW13" s="14">
        <f>SUM(Popn!AW$25:AW$105,Popn!AW$124:AW$204)/1000</f>
        <v>4858.1000000000004</v>
      </c>
      <c r="AX13" s="14">
        <f>SUM(Popn!AX$25:AX$105,Popn!AX$124:AX$204)/1000</f>
        <v>4878.8100000000004</v>
      </c>
      <c r="AY13" s="14">
        <f>SUM(Popn!AY$25:AY$105,Popn!AY$124:AY$204)/1000</f>
        <v>4898.91</v>
      </c>
      <c r="AZ13" s="14">
        <f>SUM(Popn!AZ$25:AZ$105,Popn!AZ$124:AZ$204)/1000</f>
        <v>4918.68</v>
      </c>
      <c r="BA13" s="14">
        <f>SUM(Popn!BA$25:BA$105,Popn!BA$124:BA$204)/1000</f>
        <v>4938.1000000000004</v>
      </c>
      <c r="BB13" s="14">
        <f>SUM(Popn!BB$25:BB$105,Popn!BB$124:BB$204)/1000</f>
        <v>4957.2</v>
      </c>
      <c r="BC13" s="14">
        <f>SUM(Popn!BC$25:BC$105,Popn!BC$124:BC$204)/1000</f>
        <v>4976.07</v>
      </c>
      <c r="BD13" s="14">
        <f>SUM(Popn!BD$25:BD$105,Popn!BD$124:BD$204)/1000</f>
        <v>4994.99</v>
      </c>
      <c r="BE13" s="14">
        <f>SUM(Popn!BE$25:BE$105,Popn!BE$124:BE$204)/1000</f>
        <v>5013.83</v>
      </c>
      <c r="BF13" s="14">
        <f>SUM(Popn!BF$25:BF$105,Popn!BF$124:BF$204)/1000</f>
        <v>5032.53</v>
      </c>
      <c r="BG13" s="14">
        <f>SUM(Popn!BG$25:BG$105,Popn!BG$124:BG$204)/1000</f>
        <v>5051.3</v>
      </c>
      <c r="BH13" s="14">
        <f>SUM(Popn!BH$25:BH$105,Popn!BH$124:BH$204)/1000</f>
        <v>5070.1099999999997</v>
      </c>
      <c r="BI13" s="14">
        <f>SUM(Popn!BI$25:BI$105,Popn!BI$124:BI$204)/1000</f>
        <v>5088.99</v>
      </c>
      <c r="BJ13" s="14">
        <f>SUM(Popn!BJ$25:BJ$105,Popn!BJ$124:BJ$204)/1000</f>
        <v>5108.09</v>
      </c>
      <c r="BK13" s="14">
        <f>SUM(Popn!BK$25:BK$105,Popn!BK$124:BK$204)/1000</f>
        <v>5127.37</v>
      </c>
      <c r="BL13" s="14">
        <f>SUM(Popn!BL$25:BL$105,Popn!BL$124:BL$204)/1000</f>
        <v>5146.8500000000004</v>
      </c>
      <c r="BM13" s="14">
        <f>SUM(Popn!BM$25:BM$105,Popn!BM$124:BM$204)/1000</f>
        <v>5166.63</v>
      </c>
      <c r="BN13" s="14">
        <f>SUM(Popn!BN$25:BN$105,Popn!BN$124:BN$204)/1000</f>
        <v>5186.6499999999996</v>
      </c>
      <c r="BO13" s="14">
        <f>SUM(Popn!BO$25:BO$105,Popn!BO$124:BO$204)/1000</f>
        <v>5206.84</v>
      </c>
    </row>
    <row r="14" spans="1:67" x14ac:dyDescent="0.2">
      <c r="A14" s="3" t="s">
        <v>119</v>
      </c>
      <c r="E14" s="14">
        <f>SUM(E$18:E$83,E$87:E$152)/1000</f>
        <v>2243.65</v>
      </c>
      <c r="F14" s="14">
        <f t="shared" ref="F14:BO14" si="5">SUM(F$18:F$83,F$87:F$152)/1000</f>
        <v>2279.4899999999998</v>
      </c>
      <c r="G14" s="14">
        <f t="shared" si="5"/>
        <v>2312.0100000000002</v>
      </c>
      <c r="H14" s="14">
        <f t="shared" si="5"/>
        <v>2330.88</v>
      </c>
      <c r="I14" s="14">
        <f t="shared" si="5"/>
        <v>2358.61</v>
      </c>
      <c r="J14" s="14">
        <f t="shared" si="5"/>
        <v>2384.65</v>
      </c>
      <c r="K14" s="14">
        <f t="shared" si="5"/>
        <v>2409.9899999999998</v>
      </c>
      <c r="L14" s="14">
        <f t="shared" si="5"/>
        <v>2436.7600000000002</v>
      </c>
      <c r="M14" s="14">
        <f t="shared" si="5"/>
        <v>2458.79</v>
      </c>
      <c r="N14" s="14">
        <f t="shared" si="5"/>
        <v>2519.5500000000002</v>
      </c>
      <c r="O14" s="14">
        <f t="shared" si="5"/>
        <v>2567.7399999999998</v>
      </c>
      <c r="P14" s="14">
        <f t="shared" si="5"/>
        <v>2599.9899999999998</v>
      </c>
      <c r="Q14" s="14">
        <f t="shared" si="5"/>
        <v>2630.6</v>
      </c>
      <c r="R14" s="14">
        <f t="shared" si="5"/>
        <v>2659.52</v>
      </c>
      <c r="S14" s="14">
        <f t="shared" si="5"/>
        <v>2686.65</v>
      </c>
      <c r="T14" s="14">
        <f t="shared" si="5"/>
        <v>2712.3</v>
      </c>
      <c r="U14" s="14">
        <f t="shared" si="5"/>
        <v>2737.65</v>
      </c>
      <c r="V14" s="14">
        <f t="shared" si="5"/>
        <v>2763.01</v>
      </c>
      <c r="W14" s="14">
        <f t="shared" si="5"/>
        <v>2787.72</v>
      </c>
      <c r="X14" s="14">
        <f t="shared" si="5"/>
        <v>2812.27</v>
      </c>
      <c r="Y14" s="14">
        <f t="shared" si="5"/>
        <v>2835.64</v>
      </c>
      <c r="Z14" s="14">
        <f t="shared" si="5"/>
        <v>2857.52</v>
      </c>
      <c r="AA14" s="14">
        <f t="shared" si="5"/>
        <v>2877.95</v>
      </c>
      <c r="AB14" s="14">
        <f t="shared" si="5"/>
        <v>2896.45</v>
      </c>
      <c r="AC14" s="14">
        <f t="shared" si="5"/>
        <v>2913.62</v>
      </c>
      <c r="AD14" s="14">
        <f t="shared" si="5"/>
        <v>2929.73</v>
      </c>
      <c r="AE14" s="14">
        <f t="shared" si="5"/>
        <v>2945.15</v>
      </c>
      <c r="AF14" s="14">
        <f t="shared" si="5"/>
        <v>2960.14</v>
      </c>
      <c r="AG14" s="14">
        <f t="shared" si="5"/>
        <v>2974.73</v>
      </c>
      <c r="AH14" s="14">
        <f t="shared" si="5"/>
        <v>2988.66</v>
      </c>
      <c r="AI14" s="14">
        <f t="shared" si="5"/>
        <v>3002.14</v>
      </c>
      <c r="AJ14" s="14">
        <f t="shared" si="5"/>
        <v>3015.42</v>
      </c>
      <c r="AK14" s="14">
        <f t="shared" si="5"/>
        <v>3028.75</v>
      </c>
      <c r="AL14" s="14">
        <f t="shared" si="5"/>
        <v>3042.15</v>
      </c>
      <c r="AM14" s="14">
        <f t="shared" si="5"/>
        <v>3055.92</v>
      </c>
      <c r="AN14" s="14">
        <f t="shared" si="5"/>
        <v>3070.03</v>
      </c>
      <c r="AO14" s="14">
        <f t="shared" si="5"/>
        <v>3084.51</v>
      </c>
      <c r="AP14" s="14">
        <f t="shared" si="5"/>
        <v>3099.49</v>
      </c>
      <c r="AQ14" s="14">
        <f t="shared" si="5"/>
        <v>3114.56</v>
      </c>
      <c r="AR14" s="14">
        <f t="shared" si="5"/>
        <v>3129.72</v>
      </c>
      <c r="AS14" s="14">
        <f t="shared" si="5"/>
        <v>3144.74</v>
      </c>
      <c r="AT14" s="14">
        <f t="shared" si="5"/>
        <v>3159.47</v>
      </c>
      <c r="AU14" s="14">
        <f t="shared" si="5"/>
        <v>3173.83</v>
      </c>
      <c r="AV14" s="14">
        <f t="shared" si="5"/>
        <v>3187.6</v>
      </c>
      <c r="AW14" s="14">
        <f t="shared" si="5"/>
        <v>3200.89</v>
      </c>
      <c r="AX14" s="14">
        <f t="shared" si="5"/>
        <v>3213.44</v>
      </c>
      <c r="AY14" s="14">
        <f t="shared" si="5"/>
        <v>3225.4</v>
      </c>
      <c r="AZ14" s="14">
        <f t="shared" si="5"/>
        <v>3236.48</v>
      </c>
      <c r="BA14" s="14">
        <f t="shared" si="5"/>
        <v>3246.79</v>
      </c>
      <c r="BB14" s="14">
        <f t="shared" si="5"/>
        <v>3256.19</v>
      </c>
      <c r="BC14" s="14">
        <f t="shared" si="5"/>
        <v>3264.68</v>
      </c>
      <c r="BD14" s="14">
        <f t="shared" si="5"/>
        <v>3272.46</v>
      </c>
      <c r="BE14" s="14">
        <f t="shared" si="5"/>
        <v>3279.61</v>
      </c>
      <c r="BF14" s="14">
        <f t="shared" si="5"/>
        <v>3286.05</v>
      </c>
      <c r="BG14" s="14">
        <f t="shared" si="5"/>
        <v>3292.4</v>
      </c>
      <c r="BH14" s="14">
        <f t="shared" si="5"/>
        <v>3298.3</v>
      </c>
      <c r="BI14" s="14">
        <f t="shared" si="5"/>
        <v>3304.32</v>
      </c>
      <c r="BJ14" s="14">
        <f t="shared" si="5"/>
        <v>3310</v>
      </c>
      <c r="BK14" s="14">
        <f t="shared" si="5"/>
        <v>3315.86</v>
      </c>
      <c r="BL14" s="14">
        <f t="shared" si="5"/>
        <v>3321.54</v>
      </c>
      <c r="BM14" s="14">
        <f t="shared" si="5"/>
        <v>3327.31</v>
      </c>
      <c r="BN14" s="14">
        <f t="shared" si="5"/>
        <v>3332.94</v>
      </c>
      <c r="BO14" s="14">
        <f t="shared" si="5"/>
        <v>3338.58</v>
      </c>
    </row>
    <row r="15" spans="1:67" x14ac:dyDescent="0.2">
      <c r="A15" s="3" t="s">
        <v>121</v>
      </c>
      <c r="E15" s="15">
        <f>E$14/E$13</f>
        <v>0.6806529705853801</v>
      </c>
      <c r="F15" s="15">
        <f t="shared" ref="F15:BO15" si="6">F$14/F$13</f>
        <v>0.68400568931992212</v>
      </c>
      <c r="G15" s="15">
        <f t="shared" si="6"/>
        <v>0.68723099422157763</v>
      </c>
      <c r="H15" s="15">
        <f t="shared" si="6"/>
        <v>0.68526472689427687</v>
      </c>
      <c r="I15" s="15">
        <f t="shared" si="6"/>
        <v>0.68513854635979932</v>
      </c>
      <c r="J15" s="15">
        <f t="shared" si="6"/>
        <v>0.68657399676384723</v>
      </c>
      <c r="K15" s="15">
        <f t="shared" si="6"/>
        <v>0.68892878276355918</v>
      </c>
      <c r="L15" s="15">
        <f t="shared" si="6"/>
        <v>0.68965361092007216</v>
      </c>
      <c r="M15" s="15">
        <f t="shared" si="6"/>
        <v>0.68324584779461417</v>
      </c>
      <c r="N15" s="15">
        <f t="shared" si="6"/>
        <v>0.68503262642740625</v>
      </c>
      <c r="O15" s="15">
        <f t="shared" si="6"/>
        <v>0.68686820050664332</v>
      </c>
      <c r="P15" s="15">
        <f t="shared" si="6"/>
        <v>0.68817941435706587</v>
      </c>
      <c r="Q15" s="15">
        <f t="shared" si="6"/>
        <v>0.68914568046128166</v>
      </c>
      <c r="R15" s="15">
        <f t="shared" si="6"/>
        <v>0.68952714790174796</v>
      </c>
      <c r="S15" s="15">
        <f t="shared" si="6"/>
        <v>0.68963437172721109</v>
      </c>
      <c r="T15" s="15">
        <f t="shared" si="6"/>
        <v>0.68921092552923879</v>
      </c>
      <c r="U15" s="15">
        <f t="shared" si="6"/>
        <v>0.68833082321112937</v>
      </c>
      <c r="V15" s="15">
        <f t="shared" si="6"/>
        <v>0.68713815331357064</v>
      </c>
      <c r="W15" s="15">
        <f t="shared" si="6"/>
        <v>0.68597160363197907</v>
      </c>
      <c r="X15" s="15">
        <f t="shared" si="6"/>
        <v>0.68473542094280859</v>
      </c>
      <c r="Y15" s="15">
        <f t="shared" si="6"/>
        <v>0.68362279289096328</v>
      </c>
      <c r="Z15" s="15">
        <f t="shared" si="6"/>
        <v>0.68244661668859874</v>
      </c>
      <c r="AA15" s="15">
        <f t="shared" si="6"/>
        <v>0.68125221919753809</v>
      </c>
      <c r="AB15" s="15">
        <f t="shared" si="6"/>
        <v>0.68001042395443501</v>
      </c>
      <c r="AC15" s="15">
        <f t="shared" si="6"/>
        <v>0.67874464784073274</v>
      </c>
      <c r="AD15" s="15">
        <f t="shared" si="6"/>
        <v>0.6772501571919961</v>
      </c>
      <c r="AE15" s="15">
        <f t="shared" si="6"/>
        <v>0.67564188445162243</v>
      </c>
      <c r="AF15" s="15">
        <f t="shared" si="6"/>
        <v>0.67399986338486761</v>
      </c>
      <c r="AG15" s="15">
        <f t="shared" si="6"/>
        <v>0.67237540713483313</v>
      </c>
      <c r="AH15" s="15">
        <f t="shared" si="6"/>
        <v>0.67065951574175875</v>
      </c>
      <c r="AI15" s="15">
        <f t="shared" si="6"/>
        <v>0.66894540171618155</v>
      </c>
      <c r="AJ15" s="15">
        <f t="shared" si="6"/>
        <v>0.66727889922062067</v>
      </c>
      <c r="AK15" s="15">
        <f t="shared" si="6"/>
        <v>0.66570030683206871</v>
      </c>
      <c r="AL15" s="15">
        <f t="shared" si="6"/>
        <v>0.66427420376185131</v>
      </c>
      <c r="AM15" s="15">
        <f t="shared" si="6"/>
        <v>0.66303607305737933</v>
      </c>
      <c r="AN15" s="15">
        <f t="shared" si="6"/>
        <v>0.66200393317060136</v>
      </c>
      <c r="AO15" s="15">
        <f t="shared" si="6"/>
        <v>0.66115580248342565</v>
      </c>
      <c r="AP15" s="15">
        <f t="shared" si="6"/>
        <v>0.6605453166024482</v>
      </c>
      <c r="AQ15" s="15">
        <f t="shared" si="6"/>
        <v>0.66006438391292277</v>
      </c>
      <c r="AR15" s="15">
        <f t="shared" si="6"/>
        <v>0.6597189725169792</v>
      </c>
      <c r="AS15" s="15">
        <f t="shared" si="6"/>
        <v>0.65948754943944166</v>
      </c>
      <c r="AT15" s="15">
        <f t="shared" si="6"/>
        <v>0.65932453808237934</v>
      </c>
      <c r="AU15" s="15">
        <f t="shared" si="6"/>
        <v>0.65917525987310088</v>
      </c>
      <c r="AV15" s="15">
        <f t="shared" si="6"/>
        <v>0.65901713907668136</v>
      </c>
      <c r="AW15" s="15">
        <f t="shared" si="6"/>
        <v>0.65887692719375879</v>
      </c>
      <c r="AX15" s="15">
        <f t="shared" si="6"/>
        <v>0.65865241729028179</v>
      </c>
      <c r="AY15" s="15">
        <f t="shared" si="6"/>
        <v>0.6583913564445969</v>
      </c>
      <c r="AZ15" s="15">
        <f t="shared" si="6"/>
        <v>0.65799767417274546</v>
      </c>
      <c r="BA15" s="15">
        <f t="shared" si="6"/>
        <v>0.65749782304935089</v>
      </c>
      <c r="BB15" s="15">
        <f t="shared" si="6"/>
        <v>0.65686072783022675</v>
      </c>
      <c r="BC15" s="15">
        <f t="shared" si="6"/>
        <v>0.65607597963855013</v>
      </c>
      <c r="BD15" s="15">
        <f t="shared" si="6"/>
        <v>0.65514845875567318</v>
      </c>
      <c r="BE15" s="15">
        <f t="shared" si="6"/>
        <v>0.65411272420484945</v>
      </c>
      <c r="BF15" s="15">
        <f t="shared" si="6"/>
        <v>0.65296183033186095</v>
      </c>
      <c r="BG15" s="15">
        <f t="shared" si="6"/>
        <v>0.65179260784352544</v>
      </c>
      <c r="BH15" s="15">
        <f t="shared" si="6"/>
        <v>0.65053815400454829</v>
      </c>
      <c r="BI15" s="15">
        <f t="shared" si="6"/>
        <v>0.64930762292714272</v>
      </c>
      <c r="BJ15" s="15">
        <f t="shared" si="6"/>
        <v>0.64799171510290532</v>
      </c>
      <c r="BK15" s="15">
        <f t="shared" si="6"/>
        <v>0.64669801477170563</v>
      </c>
      <c r="BL15" s="15">
        <f t="shared" si="6"/>
        <v>0.64535395436043397</v>
      </c>
      <c r="BM15" s="15">
        <f t="shared" si="6"/>
        <v>0.64400005419393291</v>
      </c>
      <c r="BN15" s="15">
        <f t="shared" si="6"/>
        <v>0.64259975128454794</v>
      </c>
      <c r="BO15" s="15">
        <f t="shared" si="6"/>
        <v>0.64119120234153537</v>
      </c>
    </row>
    <row r="17" spans="1:67" x14ac:dyDescent="0.2">
      <c r="A17" s="2" t="s">
        <v>98</v>
      </c>
      <c r="C17" s="2" t="s">
        <v>99</v>
      </c>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row>
    <row r="18" spans="1:67" x14ac:dyDescent="0.2">
      <c r="C18" s="3">
        <v>15</v>
      </c>
      <c r="E18" s="9">
        <v>11960</v>
      </c>
      <c r="F18" s="9">
        <v>11630</v>
      </c>
      <c r="G18" s="9">
        <v>11540</v>
      </c>
      <c r="H18" s="9">
        <v>8450</v>
      </c>
      <c r="I18" s="9">
        <v>6730</v>
      </c>
      <c r="J18" s="9">
        <v>5910</v>
      </c>
      <c r="K18" s="9">
        <v>5820</v>
      </c>
      <c r="L18" s="9">
        <v>5870</v>
      </c>
      <c r="M18" s="9">
        <v>6180</v>
      </c>
      <c r="N18" s="9">
        <v>6710</v>
      </c>
      <c r="O18" s="9">
        <v>7120</v>
      </c>
      <c r="P18" s="9">
        <v>7220</v>
      </c>
      <c r="Q18" s="9">
        <v>7430</v>
      </c>
      <c r="R18" s="9">
        <v>7790</v>
      </c>
      <c r="S18" s="9">
        <v>7860</v>
      </c>
      <c r="T18" s="9">
        <v>8090</v>
      </c>
      <c r="U18" s="9">
        <v>8420</v>
      </c>
      <c r="V18" s="9">
        <v>8730</v>
      </c>
      <c r="W18" s="9">
        <v>8600</v>
      </c>
      <c r="X18" s="9">
        <v>8800</v>
      </c>
      <c r="Y18" s="9">
        <v>8610</v>
      </c>
      <c r="Z18" s="9">
        <v>8450</v>
      </c>
      <c r="AA18" s="9">
        <v>8270</v>
      </c>
      <c r="AB18" s="9">
        <v>8000</v>
      </c>
      <c r="AC18" s="9">
        <v>7920</v>
      </c>
      <c r="AD18" s="9">
        <v>8020</v>
      </c>
      <c r="AE18" s="9">
        <v>8110</v>
      </c>
      <c r="AF18" s="9">
        <v>8190</v>
      </c>
      <c r="AG18" s="9">
        <v>8260</v>
      </c>
      <c r="AH18" s="9">
        <v>8330</v>
      </c>
      <c r="AI18" s="9">
        <v>8390</v>
      </c>
      <c r="AJ18" s="9">
        <v>8440</v>
      </c>
      <c r="AK18" s="9">
        <v>8490</v>
      </c>
      <c r="AL18" s="9">
        <v>8530</v>
      </c>
      <c r="AM18" s="9">
        <v>8550</v>
      </c>
      <c r="AN18" s="9">
        <v>8570</v>
      </c>
      <c r="AO18" s="9">
        <v>8580</v>
      </c>
      <c r="AP18" s="9">
        <v>8580</v>
      </c>
      <c r="AQ18" s="9">
        <v>8580</v>
      </c>
      <c r="AR18" s="9">
        <v>8560</v>
      </c>
      <c r="AS18" s="9">
        <v>8540</v>
      </c>
      <c r="AT18" s="9">
        <v>8520</v>
      </c>
      <c r="AU18" s="9">
        <v>8500</v>
      </c>
      <c r="AV18" s="9">
        <v>8480</v>
      </c>
      <c r="AW18" s="9">
        <v>8460</v>
      </c>
      <c r="AX18" s="9">
        <v>8460</v>
      </c>
      <c r="AY18" s="9">
        <v>8460</v>
      </c>
      <c r="AZ18" s="9">
        <v>8460</v>
      </c>
      <c r="BA18" s="9">
        <v>8470</v>
      </c>
      <c r="BB18" s="9">
        <v>8480</v>
      </c>
      <c r="BC18" s="9">
        <v>8490</v>
      </c>
      <c r="BD18" s="9">
        <v>8500</v>
      </c>
      <c r="BE18" s="9">
        <v>8510</v>
      </c>
      <c r="BF18" s="9">
        <v>8520</v>
      </c>
      <c r="BG18" s="9">
        <v>8530</v>
      </c>
      <c r="BH18" s="9">
        <v>8530</v>
      </c>
      <c r="BI18" s="9">
        <v>8530</v>
      </c>
      <c r="BJ18" s="9">
        <v>8540</v>
      </c>
      <c r="BK18" s="9">
        <v>8540</v>
      </c>
      <c r="BL18" s="9">
        <v>8550</v>
      </c>
      <c r="BM18" s="9">
        <v>8560</v>
      </c>
      <c r="BN18" s="9">
        <v>8570</v>
      </c>
      <c r="BO18" s="9">
        <v>8590</v>
      </c>
    </row>
    <row r="19" spans="1:67" x14ac:dyDescent="0.2">
      <c r="C19" s="3">
        <v>16</v>
      </c>
      <c r="E19" s="9">
        <v>16690</v>
      </c>
      <c r="F19" s="9">
        <v>16850</v>
      </c>
      <c r="G19" s="9">
        <v>16350</v>
      </c>
      <c r="H19" s="9">
        <v>13050</v>
      </c>
      <c r="I19" s="9">
        <v>10820</v>
      </c>
      <c r="J19" s="9">
        <v>10070</v>
      </c>
      <c r="K19" s="9">
        <v>9870</v>
      </c>
      <c r="L19" s="9">
        <v>9840</v>
      </c>
      <c r="M19" s="9">
        <v>10540</v>
      </c>
      <c r="N19" s="9">
        <v>10760</v>
      </c>
      <c r="O19" s="9">
        <v>11890</v>
      </c>
      <c r="P19" s="9">
        <v>12330</v>
      </c>
      <c r="Q19" s="9">
        <v>12310</v>
      </c>
      <c r="R19" s="9">
        <v>12510</v>
      </c>
      <c r="S19" s="9">
        <v>12950</v>
      </c>
      <c r="T19" s="9">
        <v>12920</v>
      </c>
      <c r="U19" s="9">
        <v>13220</v>
      </c>
      <c r="V19" s="9">
        <v>13750</v>
      </c>
      <c r="W19" s="9">
        <v>14250</v>
      </c>
      <c r="X19" s="9">
        <v>14040</v>
      </c>
      <c r="Y19" s="9">
        <v>14370</v>
      </c>
      <c r="Z19" s="9">
        <v>14060</v>
      </c>
      <c r="AA19" s="9">
        <v>13790</v>
      </c>
      <c r="AB19" s="9">
        <v>13510</v>
      </c>
      <c r="AC19" s="9">
        <v>13060</v>
      </c>
      <c r="AD19" s="9">
        <v>12940</v>
      </c>
      <c r="AE19" s="9">
        <v>13110</v>
      </c>
      <c r="AF19" s="9">
        <v>13250</v>
      </c>
      <c r="AG19" s="9">
        <v>13370</v>
      </c>
      <c r="AH19" s="9">
        <v>13490</v>
      </c>
      <c r="AI19" s="9">
        <v>13600</v>
      </c>
      <c r="AJ19" s="9">
        <v>13700</v>
      </c>
      <c r="AK19" s="9">
        <v>13790</v>
      </c>
      <c r="AL19" s="9">
        <v>13860</v>
      </c>
      <c r="AM19" s="9">
        <v>13920</v>
      </c>
      <c r="AN19" s="9">
        <v>13960</v>
      </c>
      <c r="AO19" s="9">
        <v>14000</v>
      </c>
      <c r="AP19" s="9">
        <v>14010</v>
      </c>
      <c r="AQ19" s="9">
        <v>14010</v>
      </c>
      <c r="AR19" s="9">
        <v>14000</v>
      </c>
      <c r="AS19" s="9">
        <v>13980</v>
      </c>
      <c r="AT19" s="9">
        <v>13950</v>
      </c>
      <c r="AU19" s="9">
        <v>13910</v>
      </c>
      <c r="AV19" s="9">
        <v>13870</v>
      </c>
      <c r="AW19" s="9">
        <v>13840</v>
      </c>
      <c r="AX19" s="9">
        <v>13820</v>
      </c>
      <c r="AY19" s="9">
        <v>13810</v>
      </c>
      <c r="AZ19" s="9">
        <v>13810</v>
      </c>
      <c r="BA19" s="9">
        <v>13810</v>
      </c>
      <c r="BB19" s="9">
        <v>13830</v>
      </c>
      <c r="BC19" s="9">
        <v>13840</v>
      </c>
      <c r="BD19" s="9">
        <v>13860</v>
      </c>
      <c r="BE19" s="9">
        <v>13880</v>
      </c>
      <c r="BF19" s="9">
        <v>13900</v>
      </c>
      <c r="BG19" s="9">
        <v>13910</v>
      </c>
      <c r="BH19" s="9">
        <v>13920</v>
      </c>
      <c r="BI19" s="9">
        <v>13930</v>
      </c>
      <c r="BJ19" s="9">
        <v>13930</v>
      </c>
      <c r="BK19" s="9">
        <v>13940</v>
      </c>
      <c r="BL19" s="9">
        <v>13950</v>
      </c>
      <c r="BM19" s="9">
        <v>13960</v>
      </c>
      <c r="BN19" s="9">
        <v>13980</v>
      </c>
      <c r="BO19" s="9">
        <v>14000</v>
      </c>
    </row>
    <row r="20" spans="1:67" x14ac:dyDescent="0.2">
      <c r="C20" s="3">
        <v>17</v>
      </c>
      <c r="E20" s="9">
        <v>18780</v>
      </c>
      <c r="F20" s="9">
        <v>19600</v>
      </c>
      <c r="G20" s="9">
        <v>19750</v>
      </c>
      <c r="H20" s="9">
        <v>17040</v>
      </c>
      <c r="I20" s="9">
        <v>15630</v>
      </c>
      <c r="J20" s="9">
        <v>14750</v>
      </c>
      <c r="K20" s="9">
        <v>14730</v>
      </c>
      <c r="L20" s="9">
        <v>14480</v>
      </c>
      <c r="M20" s="9">
        <v>15090</v>
      </c>
      <c r="N20" s="9">
        <v>15360</v>
      </c>
      <c r="O20" s="9">
        <v>15440</v>
      </c>
      <c r="P20" s="9">
        <v>16280</v>
      </c>
      <c r="Q20" s="9">
        <v>16350</v>
      </c>
      <c r="R20" s="9">
        <v>15920</v>
      </c>
      <c r="S20" s="9">
        <v>15870</v>
      </c>
      <c r="T20" s="9">
        <v>16210</v>
      </c>
      <c r="U20" s="9">
        <v>16080</v>
      </c>
      <c r="V20" s="9">
        <v>16450</v>
      </c>
      <c r="W20" s="9">
        <v>17110</v>
      </c>
      <c r="X20" s="9">
        <v>17730</v>
      </c>
      <c r="Y20" s="9">
        <v>17460</v>
      </c>
      <c r="Z20" s="9">
        <v>17870</v>
      </c>
      <c r="AA20" s="9">
        <v>17480</v>
      </c>
      <c r="AB20" s="9">
        <v>17150</v>
      </c>
      <c r="AC20" s="9">
        <v>16810</v>
      </c>
      <c r="AD20" s="9">
        <v>16260</v>
      </c>
      <c r="AE20" s="9">
        <v>16100</v>
      </c>
      <c r="AF20" s="9">
        <v>16310</v>
      </c>
      <c r="AG20" s="9">
        <v>16490</v>
      </c>
      <c r="AH20" s="9">
        <v>16630</v>
      </c>
      <c r="AI20" s="9">
        <v>16780</v>
      </c>
      <c r="AJ20" s="9">
        <v>16920</v>
      </c>
      <c r="AK20" s="9">
        <v>17040</v>
      </c>
      <c r="AL20" s="9">
        <v>17150</v>
      </c>
      <c r="AM20" s="9">
        <v>17240</v>
      </c>
      <c r="AN20" s="9">
        <v>17320</v>
      </c>
      <c r="AO20" s="9">
        <v>17370</v>
      </c>
      <c r="AP20" s="9">
        <v>17410</v>
      </c>
      <c r="AQ20" s="9">
        <v>17430</v>
      </c>
      <c r="AR20" s="9">
        <v>17430</v>
      </c>
      <c r="AS20" s="9">
        <v>17420</v>
      </c>
      <c r="AT20" s="9">
        <v>17390</v>
      </c>
      <c r="AU20" s="9">
        <v>17350</v>
      </c>
      <c r="AV20" s="9">
        <v>17310</v>
      </c>
      <c r="AW20" s="9">
        <v>17260</v>
      </c>
      <c r="AX20" s="9">
        <v>17220</v>
      </c>
      <c r="AY20" s="9">
        <v>17190</v>
      </c>
      <c r="AZ20" s="9">
        <v>17180</v>
      </c>
      <c r="BA20" s="9">
        <v>17180</v>
      </c>
      <c r="BB20" s="9">
        <v>17190</v>
      </c>
      <c r="BC20" s="9">
        <v>17200</v>
      </c>
      <c r="BD20" s="9">
        <v>17220</v>
      </c>
      <c r="BE20" s="9">
        <v>17250</v>
      </c>
      <c r="BF20" s="9">
        <v>17270</v>
      </c>
      <c r="BG20" s="9">
        <v>17290</v>
      </c>
      <c r="BH20" s="9">
        <v>17310</v>
      </c>
      <c r="BI20" s="9">
        <v>17320</v>
      </c>
      <c r="BJ20" s="9">
        <v>17330</v>
      </c>
      <c r="BK20" s="9">
        <v>17330</v>
      </c>
      <c r="BL20" s="9">
        <v>17340</v>
      </c>
      <c r="BM20" s="9">
        <v>17350</v>
      </c>
      <c r="BN20" s="9">
        <v>17370</v>
      </c>
      <c r="BO20" s="9">
        <v>17390</v>
      </c>
    </row>
    <row r="21" spans="1:67" x14ac:dyDescent="0.2">
      <c r="C21" s="3">
        <v>18</v>
      </c>
      <c r="E21" s="9">
        <v>19400</v>
      </c>
      <c r="F21" s="9">
        <v>19860</v>
      </c>
      <c r="G21" s="9">
        <v>20710</v>
      </c>
      <c r="H21" s="9">
        <v>20170</v>
      </c>
      <c r="I21" s="9">
        <v>19200</v>
      </c>
      <c r="J21" s="9">
        <v>18860</v>
      </c>
      <c r="K21" s="9">
        <v>18420</v>
      </c>
      <c r="L21" s="9">
        <v>18370</v>
      </c>
      <c r="M21" s="9">
        <v>18360</v>
      </c>
      <c r="N21" s="9">
        <v>18730</v>
      </c>
      <c r="O21" s="9">
        <v>18610</v>
      </c>
      <c r="P21" s="9">
        <v>18040</v>
      </c>
      <c r="Q21" s="9">
        <v>18580</v>
      </c>
      <c r="R21" s="9">
        <v>18320</v>
      </c>
      <c r="S21" s="9">
        <v>17620</v>
      </c>
      <c r="T21" s="9">
        <v>17430</v>
      </c>
      <c r="U21" s="9">
        <v>17750</v>
      </c>
      <c r="V21" s="9">
        <v>17610</v>
      </c>
      <c r="W21" s="9">
        <v>18010</v>
      </c>
      <c r="X21" s="9">
        <v>18730</v>
      </c>
      <c r="Y21" s="9">
        <v>19400</v>
      </c>
      <c r="Z21" s="9">
        <v>19110</v>
      </c>
      <c r="AA21" s="9">
        <v>19550</v>
      </c>
      <c r="AB21" s="9">
        <v>19140</v>
      </c>
      <c r="AC21" s="9">
        <v>18770</v>
      </c>
      <c r="AD21" s="9">
        <v>18400</v>
      </c>
      <c r="AE21" s="9">
        <v>17800</v>
      </c>
      <c r="AF21" s="9">
        <v>17630</v>
      </c>
      <c r="AG21" s="9">
        <v>17850</v>
      </c>
      <c r="AH21" s="9">
        <v>18050</v>
      </c>
      <c r="AI21" s="9">
        <v>18210</v>
      </c>
      <c r="AJ21" s="9">
        <v>18370</v>
      </c>
      <c r="AK21" s="9">
        <v>18520</v>
      </c>
      <c r="AL21" s="9">
        <v>18660</v>
      </c>
      <c r="AM21" s="9">
        <v>18770</v>
      </c>
      <c r="AN21" s="9">
        <v>18870</v>
      </c>
      <c r="AO21" s="9">
        <v>18950</v>
      </c>
      <c r="AP21" s="9">
        <v>19010</v>
      </c>
      <c r="AQ21" s="9">
        <v>19060</v>
      </c>
      <c r="AR21" s="9">
        <v>19080</v>
      </c>
      <c r="AS21" s="9">
        <v>19080</v>
      </c>
      <c r="AT21" s="9">
        <v>19070</v>
      </c>
      <c r="AU21" s="9">
        <v>19030</v>
      </c>
      <c r="AV21" s="9">
        <v>18990</v>
      </c>
      <c r="AW21" s="9">
        <v>18940</v>
      </c>
      <c r="AX21" s="9">
        <v>18890</v>
      </c>
      <c r="AY21" s="9">
        <v>18850</v>
      </c>
      <c r="AZ21" s="9">
        <v>18820</v>
      </c>
      <c r="BA21" s="9">
        <v>18800</v>
      </c>
      <c r="BB21" s="9">
        <v>18800</v>
      </c>
      <c r="BC21" s="9">
        <v>18810</v>
      </c>
      <c r="BD21" s="9">
        <v>18830</v>
      </c>
      <c r="BE21" s="9">
        <v>18850</v>
      </c>
      <c r="BF21" s="9">
        <v>18880</v>
      </c>
      <c r="BG21" s="9">
        <v>18900</v>
      </c>
      <c r="BH21" s="9">
        <v>18930</v>
      </c>
      <c r="BI21" s="9">
        <v>18940</v>
      </c>
      <c r="BJ21" s="9">
        <v>18960</v>
      </c>
      <c r="BK21" s="9">
        <v>18970</v>
      </c>
      <c r="BL21" s="9">
        <v>18970</v>
      </c>
      <c r="BM21" s="9">
        <v>18980</v>
      </c>
      <c r="BN21" s="9">
        <v>18990</v>
      </c>
      <c r="BO21" s="9">
        <v>19010</v>
      </c>
    </row>
    <row r="22" spans="1:67" x14ac:dyDescent="0.2">
      <c r="C22" s="3">
        <v>19</v>
      </c>
      <c r="E22" s="9">
        <v>19340</v>
      </c>
      <c r="F22" s="9">
        <v>20050</v>
      </c>
      <c r="G22" s="9">
        <v>20460</v>
      </c>
      <c r="H22" s="9">
        <v>21380</v>
      </c>
      <c r="I22" s="9">
        <v>21680</v>
      </c>
      <c r="J22" s="9">
        <v>20920</v>
      </c>
      <c r="K22" s="9">
        <v>20680</v>
      </c>
      <c r="L22" s="9">
        <v>20190</v>
      </c>
      <c r="M22" s="9">
        <v>20490</v>
      </c>
      <c r="N22" s="9">
        <v>20450</v>
      </c>
      <c r="O22" s="9">
        <v>20640</v>
      </c>
      <c r="P22" s="9">
        <v>20300</v>
      </c>
      <c r="Q22" s="9">
        <v>19660</v>
      </c>
      <c r="R22" s="9">
        <v>20210</v>
      </c>
      <c r="S22" s="9">
        <v>19900</v>
      </c>
      <c r="T22" s="9">
        <v>19120</v>
      </c>
      <c r="U22" s="9">
        <v>18890</v>
      </c>
      <c r="V22" s="9">
        <v>19210</v>
      </c>
      <c r="W22" s="9">
        <v>19040</v>
      </c>
      <c r="X22" s="9">
        <v>19450</v>
      </c>
      <c r="Y22" s="9">
        <v>20200</v>
      </c>
      <c r="Z22" s="9">
        <v>20900</v>
      </c>
      <c r="AA22" s="9">
        <v>20580</v>
      </c>
      <c r="AB22" s="9">
        <v>21040</v>
      </c>
      <c r="AC22" s="9">
        <v>20580</v>
      </c>
      <c r="AD22" s="9">
        <v>20180</v>
      </c>
      <c r="AE22" s="9">
        <v>19770</v>
      </c>
      <c r="AF22" s="9">
        <v>19130</v>
      </c>
      <c r="AG22" s="9">
        <v>18940</v>
      </c>
      <c r="AH22" s="9">
        <v>19180</v>
      </c>
      <c r="AI22" s="9">
        <v>19390</v>
      </c>
      <c r="AJ22" s="9">
        <v>19560</v>
      </c>
      <c r="AK22" s="9">
        <v>19730</v>
      </c>
      <c r="AL22" s="9">
        <v>19890</v>
      </c>
      <c r="AM22" s="9">
        <v>20040</v>
      </c>
      <c r="AN22" s="9">
        <v>20160</v>
      </c>
      <c r="AO22" s="9">
        <v>20270</v>
      </c>
      <c r="AP22" s="9">
        <v>20350</v>
      </c>
      <c r="AQ22" s="9">
        <v>20420</v>
      </c>
      <c r="AR22" s="9">
        <v>20460</v>
      </c>
      <c r="AS22" s="9">
        <v>20490</v>
      </c>
      <c r="AT22" s="9">
        <v>20490</v>
      </c>
      <c r="AU22" s="9">
        <v>20470</v>
      </c>
      <c r="AV22" s="9">
        <v>20440</v>
      </c>
      <c r="AW22" s="9">
        <v>20390</v>
      </c>
      <c r="AX22" s="9">
        <v>20340</v>
      </c>
      <c r="AY22" s="9">
        <v>20290</v>
      </c>
      <c r="AZ22" s="9">
        <v>20240</v>
      </c>
      <c r="BA22" s="9">
        <v>20210</v>
      </c>
      <c r="BB22" s="9">
        <v>20190</v>
      </c>
      <c r="BC22" s="9">
        <v>20190</v>
      </c>
      <c r="BD22" s="9">
        <v>20200</v>
      </c>
      <c r="BE22" s="9">
        <v>20220</v>
      </c>
      <c r="BF22" s="9">
        <v>20250</v>
      </c>
      <c r="BG22" s="9">
        <v>20280</v>
      </c>
      <c r="BH22" s="9">
        <v>20300</v>
      </c>
      <c r="BI22" s="9">
        <v>20330</v>
      </c>
      <c r="BJ22" s="9">
        <v>20340</v>
      </c>
      <c r="BK22" s="9">
        <v>20360</v>
      </c>
      <c r="BL22" s="9">
        <v>20370</v>
      </c>
      <c r="BM22" s="9">
        <v>20380</v>
      </c>
      <c r="BN22" s="9">
        <v>20380</v>
      </c>
      <c r="BO22" s="9">
        <v>20400</v>
      </c>
    </row>
    <row r="23" spans="1:67" x14ac:dyDescent="0.2">
      <c r="C23" s="3">
        <v>20</v>
      </c>
      <c r="E23" s="9">
        <v>20120</v>
      </c>
      <c r="F23" s="9">
        <v>19770</v>
      </c>
      <c r="G23" s="9">
        <v>20560</v>
      </c>
      <c r="H23" s="9">
        <v>21090</v>
      </c>
      <c r="I23" s="9">
        <v>22200</v>
      </c>
      <c r="J23" s="9">
        <v>22410</v>
      </c>
      <c r="K23" s="9">
        <v>21520</v>
      </c>
      <c r="L23" s="9">
        <v>21340</v>
      </c>
      <c r="M23" s="9">
        <v>21120</v>
      </c>
      <c r="N23" s="9">
        <v>21550</v>
      </c>
      <c r="O23" s="9">
        <v>21350</v>
      </c>
      <c r="P23" s="9">
        <v>21380</v>
      </c>
      <c r="Q23" s="9">
        <v>21060</v>
      </c>
      <c r="R23" s="9">
        <v>20410</v>
      </c>
      <c r="S23" s="9">
        <v>21000</v>
      </c>
      <c r="T23" s="9">
        <v>20700</v>
      </c>
      <c r="U23" s="9">
        <v>19910</v>
      </c>
      <c r="V23" s="9">
        <v>19680</v>
      </c>
      <c r="W23" s="9">
        <v>20020</v>
      </c>
      <c r="X23" s="9">
        <v>19860</v>
      </c>
      <c r="Y23" s="9">
        <v>20300</v>
      </c>
      <c r="Z23" s="9">
        <v>21090</v>
      </c>
      <c r="AA23" s="9">
        <v>21830</v>
      </c>
      <c r="AB23" s="9">
        <v>21500</v>
      </c>
      <c r="AC23" s="9">
        <v>21980</v>
      </c>
      <c r="AD23" s="9">
        <v>21520</v>
      </c>
      <c r="AE23" s="9">
        <v>21110</v>
      </c>
      <c r="AF23" s="9">
        <v>20690</v>
      </c>
      <c r="AG23" s="9">
        <v>20020</v>
      </c>
      <c r="AH23" s="9">
        <v>19840</v>
      </c>
      <c r="AI23" s="9">
        <v>20090</v>
      </c>
      <c r="AJ23" s="9">
        <v>20300</v>
      </c>
      <c r="AK23" s="9">
        <v>20480</v>
      </c>
      <c r="AL23" s="9">
        <v>20660</v>
      </c>
      <c r="AM23" s="9">
        <v>20830</v>
      </c>
      <c r="AN23" s="9">
        <v>20980</v>
      </c>
      <c r="AO23" s="9">
        <v>21110</v>
      </c>
      <c r="AP23" s="9">
        <v>21220</v>
      </c>
      <c r="AQ23" s="9">
        <v>21310</v>
      </c>
      <c r="AR23" s="9">
        <v>21370</v>
      </c>
      <c r="AS23" s="9">
        <v>21420</v>
      </c>
      <c r="AT23" s="9">
        <v>21440</v>
      </c>
      <c r="AU23" s="9">
        <v>21450</v>
      </c>
      <c r="AV23" s="9">
        <v>21430</v>
      </c>
      <c r="AW23" s="9">
        <v>21400</v>
      </c>
      <c r="AX23" s="9">
        <v>21350</v>
      </c>
      <c r="AY23" s="9">
        <v>21290</v>
      </c>
      <c r="AZ23" s="9">
        <v>21240</v>
      </c>
      <c r="BA23" s="9">
        <v>21190</v>
      </c>
      <c r="BB23" s="9">
        <v>21160</v>
      </c>
      <c r="BC23" s="9">
        <v>21140</v>
      </c>
      <c r="BD23" s="9">
        <v>21140</v>
      </c>
      <c r="BE23" s="9">
        <v>21150</v>
      </c>
      <c r="BF23" s="9">
        <v>21170</v>
      </c>
      <c r="BG23" s="9">
        <v>21200</v>
      </c>
      <c r="BH23" s="9">
        <v>21230</v>
      </c>
      <c r="BI23" s="9">
        <v>21250</v>
      </c>
      <c r="BJ23" s="9">
        <v>21280</v>
      </c>
      <c r="BK23" s="9">
        <v>21300</v>
      </c>
      <c r="BL23" s="9">
        <v>21310</v>
      </c>
      <c r="BM23" s="9">
        <v>21320</v>
      </c>
      <c r="BN23" s="9">
        <v>21330</v>
      </c>
      <c r="BO23" s="9">
        <v>21340</v>
      </c>
    </row>
    <row r="24" spans="1:67" x14ac:dyDescent="0.2">
      <c r="C24" s="3">
        <v>21</v>
      </c>
      <c r="E24" s="9">
        <v>20380</v>
      </c>
      <c r="F24" s="9">
        <v>20380</v>
      </c>
      <c r="G24" s="9">
        <v>20050</v>
      </c>
      <c r="H24" s="9">
        <v>21020</v>
      </c>
      <c r="I24" s="9">
        <v>21710</v>
      </c>
      <c r="J24" s="9">
        <v>22710</v>
      </c>
      <c r="K24" s="9">
        <v>22810</v>
      </c>
      <c r="L24" s="9">
        <v>21960</v>
      </c>
      <c r="M24" s="9">
        <v>21940</v>
      </c>
      <c r="N24" s="9">
        <v>22030</v>
      </c>
      <c r="O24" s="9">
        <v>22280</v>
      </c>
      <c r="P24" s="9">
        <v>21890</v>
      </c>
      <c r="Q24" s="9">
        <v>21940</v>
      </c>
      <c r="R24" s="9">
        <v>21630</v>
      </c>
      <c r="S24" s="9">
        <v>20980</v>
      </c>
      <c r="T24" s="9">
        <v>21600</v>
      </c>
      <c r="U24" s="9">
        <v>21300</v>
      </c>
      <c r="V24" s="9">
        <v>20500</v>
      </c>
      <c r="W24" s="9">
        <v>20280</v>
      </c>
      <c r="X24" s="9">
        <v>20640</v>
      </c>
      <c r="Y24" s="9">
        <v>20480</v>
      </c>
      <c r="Z24" s="9">
        <v>20940</v>
      </c>
      <c r="AA24" s="9">
        <v>21760</v>
      </c>
      <c r="AB24" s="9">
        <v>22530</v>
      </c>
      <c r="AC24" s="9">
        <v>22200</v>
      </c>
      <c r="AD24" s="9">
        <v>22710</v>
      </c>
      <c r="AE24" s="9">
        <v>22230</v>
      </c>
      <c r="AF24" s="9">
        <v>21820</v>
      </c>
      <c r="AG24" s="9">
        <v>21390</v>
      </c>
      <c r="AH24" s="9">
        <v>20700</v>
      </c>
      <c r="AI24" s="9">
        <v>20510</v>
      </c>
      <c r="AJ24" s="9">
        <v>20770</v>
      </c>
      <c r="AK24" s="9">
        <v>20990</v>
      </c>
      <c r="AL24" s="9">
        <v>21170</v>
      </c>
      <c r="AM24" s="9">
        <v>21360</v>
      </c>
      <c r="AN24" s="9">
        <v>21530</v>
      </c>
      <c r="AO24" s="9">
        <v>21690</v>
      </c>
      <c r="AP24" s="9">
        <v>21820</v>
      </c>
      <c r="AQ24" s="9">
        <v>21940</v>
      </c>
      <c r="AR24" s="9">
        <v>22030</v>
      </c>
      <c r="AS24" s="9">
        <v>22100</v>
      </c>
      <c r="AT24" s="9">
        <v>22150</v>
      </c>
      <c r="AU24" s="9">
        <v>22170</v>
      </c>
      <c r="AV24" s="9">
        <v>22170</v>
      </c>
      <c r="AW24" s="9">
        <v>22160</v>
      </c>
      <c r="AX24" s="9">
        <v>22120</v>
      </c>
      <c r="AY24" s="9">
        <v>22070</v>
      </c>
      <c r="AZ24" s="9">
        <v>22020</v>
      </c>
      <c r="BA24" s="9">
        <v>21960</v>
      </c>
      <c r="BB24" s="9">
        <v>21910</v>
      </c>
      <c r="BC24" s="9">
        <v>21880</v>
      </c>
      <c r="BD24" s="9">
        <v>21860</v>
      </c>
      <c r="BE24" s="9">
        <v>21860</v>
      </c>
      <c r="BF24" s="9">
        <v>21870</v>
      </c>
      <c r="BG24" s="9">
        <v>21890</v>
      </c>
      <c r="BH24" s="9">
        <v>21920</v>
      </c>
      <c r="BI24" s="9">
        <v>21950</v>
      </c>
      <c r="BJ24" s="9">
        <v>21980</v>
      </c>
      <c r="BK24" s="9">
        <v>22000</v>
      </c>
      <c r="BL24" s="9">
        <v>22020</v>
      </c>
      <c r="BM24" s="9">
        <v>22040</v>
      </c>
      <c r="BN24" s="9">
        <v>22050</v>
      </c>
      <c r="BO24" s="9">
        <v>22050</v>
      </c>
    </row>
    <row r="25" spans="1:67" x14ac:dyDescent="0.2">
      <c r="C25" s="3">
        <v>22</v>
      </c>
      <c r="E25" s="9">
        <v>20360</v>
      </c>
      <c r="F25" s="9">
        <v>20440</v>
      </c>
      <c r="G25" s="9">
        <v>20450</v>
      </c>
      <c r="H25" s="9">
        <v>20290</v>
      </c>
      <c r="I25" s="9">
        <v>21390</v>
      </c>
      <c r="J25" s="9">
        <v>21880</v>
      </c>
      <c r="K25" s="9">
        <v>22820</v>
      </c>
      <c r="L25" s="9">
        <v>22960</v>
      </c>
      <c r="M25" s="9">
        <v>22080</v>
      </c>
      <c r="N25" s="9">
        <v>22620</v>
      </c>
      <c r="O25" s="9">
        <v>22470</v>
      </c>
      <c r="P25" s="9">
        <v>22490</v>
      </c>
      <c r="Q25" s="9">
        <v>22090</v>
      </c>
      <c r="R25" s="9">
        <v>22150</v>
      </c>
      <c r="S25" s="9">
        <v>21830</v>
      </c>
      <c r="T25" s="9">
        <v>21170</v>
      </c>
      <c r="U25" s="9">
        <v>21800</v>
      </c>
      <c r="V25" s="9">
        <v>21500</v>
      </c>
      <c r="W25" s="9">
        <v>20690</v>
      </c>
      <c r="X25" s="9">
        <v>20470</v>
      </c>
      <c r="Y25" s="9">
        <v>20840</v>
      </c>
      <c r="Z25" s="9">
        <v>20680</v>
      </c>
      <c r="AA25" s="9">
        <v>21140</v>
      </c>
      <c r="AB25" s="9">
        <v>21980</v>
      </c>
      <c r="AC25" s="9">
        <v>22760</v>
      </c>
      <c r="AD25" s="9">
        <v>22430</v>
      </c>
      <c r="AE25" s="9">
        <v>22940</v>
      </c>
      <c r="AF25" s="9">
        <v>22460</v>
      </c>
      <c r="AG25" s="9">
        <v>22040</v>
      </c>
      <c r="AH25" s="9">
        <v>21600</v>
      </c>
      <c r="AI25" s="9">
        <v>20900</v>
      </c>
      <c r="AJ25" s="9">
        <v>20710</v>
      </c>
      <c r="AK25" s="9">
        <v>20970</v>
      </c>
      <c r="AL25" s="9">
        <v>21200</v>
      </c>
      <c r="AM25" s="9">
        <v>21380</v>
      </c>
      <c r="AN25" s="9">
        <v>21570</v>
      </c>
      <c r="AO25" s="9">
        <v>21750</v>
      </c>
      <c r="AP25" s="9">
        <v>21910</v>
      </c>
      <c r="AQ25" s="9">
        <v>22040</v>
      </c>
      <c r="AR25" s="9">
        <v>22160</v>
      </c>
      <c r="AS25" s="9">
        <v>22250</v>
      </c>
      <c r="AT25" s="9">
        <v>22320</v>
      </c>
      <c r="AU25" s="9">
        <v>22370</v>
      </c>
      <c r="AV25" s="9">
        <v>22400</v>
      </c>
      <c r="AW25" s="9">
        <v>22400</v>
      </c>
      <c r="AX25" s="9">
        <v>22390</v>
      </c>
      <c r="AY25" s="9">
        <v>22350</v>
      </c>
      <c r="AZ25" s="9">
        <v>22300</v>
      </c>
      <c r="BA25" s="9">
        <v>22240</v>
      </c>
      <c r="BB25" s="9">
        <v>22190</v>
      </c>
      <c r="BC25" s="9">
        <v>22140</v>
      </c>
      <c r="BD25" s="9">
        <v>22100</v>
      </c>
      <c r="BE25" s="9">
        <v>22080</v>
      </c>
      <c r="BF25" s="9">
        <v>22080</v>
      </c>
      <c r="BG25" s="9">
        <v>22090</v>
      </c>
      <c r="BH25" s="9">
        <v>22110</v>
      </c>
      <c r="BI25" s="9">
        <v>22140</v>
      </c>
      <c r="BJ25" s="9">
        <v>22170</v>
      </c>
      <c r="BK25" s="9">
        <v>22200</v>
      </c>
      <c r="BL25" s="9">
        <v>22230</v>
      </c>
      <c r="BM25" s="9">
        <v>22250</v>
      </c>
      <c r="BN25" s="9">
        <v>22260</v>
      </c>
      <c r="BO25" s="9">
        <v>22270</v>
      </c>
    </row>
    <row r="26" spans="1:67" x14ac:dyDescent="0.2">
      <c r="C26" s="3">
        <v>23</v>
      </c>
      <c r="E26" s="9">
        <v>20330</v>
      </c>
      <c r="F26" s="9">
        <v>20390</v>
      </c>
      <c r="G26" s="9">
        <v>20510</v>
      </c>
      <c r="H26" s="9">
        <v>20640</v>
      </c>
      <c r="I26" s="9">
        <v>20620</v>
      </c>
      <c r="J26" s="9">
        <v>21550</v>
      </c>
      <c r="K26" s="9">
        <v>21990</v>
      </c>
      <c r="L26" s="9">
        <v>22990</v>
      </c>
      <c r="M26" s="9">
        <v>23020</v>
      </c>
      <c r="N26" s="9">
        <v>22920</v>
      </c>
      <c r="O26" s="9">
        <v>23190</v>
      </c>
      <c r="P26" s="9">
        <v>22760</v>
      </c>
      <c r="Q26" s="9">
        <v>22790</v>
      </c>
      <c r="R26" s="9">
        <v>22390</v>
      </c>
      <c r="S26" s="9">
        <v>22450</v>
      </c>
      <c r="T26" s="9">
        <v>22130</v>
      </c>
      <c r="U26" s="9">
        <v>21470</v>
      </c>
      <c r="V26" s="9">
        <v>22110</v>
      </c>
      <c r="W26" s="9">
        <v>21810</v>
      </c>
      <c r="X26" s="9">
        <v>20990</v>
      </c>
      <c r="Y26" s="9">
        <v>20770</v>
      </c>
      <c r="Z26" s="9">
        <v>21150</v>
      </c>
      <c r="AA26" s="9">
        <v>20990</v>
      </c>
      <c r="AB26" s="9">
        <v>21460</v>
      </c>
      <c r="AC26" s="9">
        <v>22320</v>
      </c>
      <c r="AD26" s="9">
        <v>23110</v>
      </c>
      <c r="AE26" s="9">
        <v>22780</v>
      </c>
      <c r="AF26" s="9">
        <v>23300</v>
      </c>
      <c r="AG26" s="9">
        <v>22810</v>
      </c>
      <c r="AH26" s="9">
        <v>22380</v>
      </c>
      <c r="AI26" s="9">
        <v>21940</v>
      </c>
      <c r="AJ26" s="9">
        <v>21230</v>
      </c>
      <c r="AK26" s="9">
        <v>21030</v>
      </c>
      <c r="AL26" s="9">
        <v>21300</v>
      </c>
      <c r="AM26" s="9">
        <v>21530</v>
      </c>
      <c r="AN26" s="9">
        <v>21720</v>
      </c>
      <c r="AO26" s="9">
        <v>21910</v>
      </c>
      <c r="AP26" s="9">
        <v>22090</v>
      </c>
      <c r="AQ26" s="9">
        <v>22250</v>
      </c>
      <c r="AR26" s="9">
        <v>22390</v>
      </c>
      <c r="AS26" s="9">
        <v>22510</v>
      </c>
      <c r="AT26" s="9">
        <v>22600</v>
      </c>
      <c r="AU26" s="9">
        <v>22670</v>
      </c>
      <c r="AV26" s="9">
        <v>22720</v>
      </c>
      <c r="AW26" s="9">
        <v>22750</v>
      </c>
      <c r="AX26" s="9">
        <v>22750</v>
      </c>
      <c r="AY26" s="9">
        <v>22740</v>
      </c>
      <c r="AZ26" s="9">
        <v>22700</v>
      </c>
      <c r="BA26" s="9">
        <v>22650</v>
      </c>
      <c r="BB26" s="9">
        <v>22590</v>
      </c>
      <c r="BC26" s="9">
        <v>22530</v>
      </c>
      <c r="BD26" s="9">
        <v>22480</v>
      </c>
      <c r="BE26" s="9">
        <v>22450</v>
      </c>
      <c r="BF26" s="9">
        <v>22430</v>
      </c>
      <c r="BG26" s="9">
        <v>22430</v>
      </c>
      <c r="BH26" s="9">
        <v>22440</v>
      </c>
      <c r="BI26" s="9">
        <v>22460</v>
      </c>
      <c r="BJ26" s="9">
        <v>22490</v>
      </c>
      <c r="BK26" s="9">
        <v>22520</v>
      </c>
      <c r="BL26" s="9">
        <v>22550</v>
      </c>
      <c r="BM26" s="9">
        <v>22580</v>
      </c>
      <c r="BN26" s="9">
        <v>22600</v>
      </c>
      <c r="BO26" s="9">
        <v>22610</v>
      </c>
    </row>
    <row r="27" spans="1:67" x14ac:dyDescent="0.2">
      <c r="C27" s="3">
        <v>24</v>
      </c>
      <c r="E27" s="9">
        <v>19790</v>
      </c>
      <c r="F27" s="9">
        <v>20410</v>
      </c>
      <c r="G27" s="9">
        <v>20480</v>
      </c>
      <c r="H27" s="9">
        <v>20760</v>
      </c>
      <c r="I27" s="9">
        <v>20980</v>
      </c>
      <c r="J27" s="9">
        <v>20850</v>
      </c>
      <c r="K27" s="9">
        <v>21710</v>
      </c>
      <c r="L27" s="9">
        <v>22210</v>
      </c>
      <c r="M27" s="9">
        <v>22700</v>
      </c>
      <c r="N27" s="9">
        <v>23970</v>
      </c>
      <c r="O27" s="9">
        <v>23590</v>
      </c>
      <c r="P27" s="9">
        <v>23590</v>
      </c>
      <c r="Q27" s="9">
        <v>23160</v>
      </c>
      <c r="R27" s="9">
        <v>23190</v>
      </c>
      <c r="S27" s="9">
        <v>22790</v>
      </c>
      <c r="T27" s="9">
        <v>22860</v>
      </c>
      <c r="U27" s="9">
        <v>22540</v>
      </c>
      <c r="V27" s="9">
        <v>21880</v>
      </c>
      <c r="W27" s="9">
        <v>22530</v>
      </c>
      <c r="X27" s="9">
        <v>22230</v>
      </c>
      <c r="Y27" s="9">
        <v>21400</v>
      </c>
      <c r="Z27" s="9">
        <v>21180</v>
      </c>
      <c r="AA27" s="9">
        <v>21570</v>
      </c>
      <c r="AB27" s="9">
        <v>21400</v>
      </c>
      <c r="AC27" s="9">
        <v>21890</v>
      </c>
      <c r="AD27" s="9">
        <v>22760</v>
      </c>
      <c r="AE27" s="9">
        <v>23570</v>
      </c>
      <c r="AF27" s="9">
        <v>23230</v>
      </c>
      <c r="AG27" s="9">
        <v>23760</v>
      </c>
      <c r="AH27" s="9">
        <v>23260</v>
      </c>
      <c r="AI27" s="9">
        <v>22830</v>
      </c>
      <c r="AJ27" s="9">
        <v>22380</v>
      </c>
      <c r="AK27" s="9">
        <v>21660</v>
      </c>
      <c r="AL27" s="9">
        <v>21460</v>
      </c>
      <c r="AM27" s="9">
        <v>21730</v>
      </c>
      <c r="AN27" s="9">
        <v>21960</v>
      </c>
      <c r="AO27" s="9">
        <v>22160</v>
      </c>
      <c r="AP27" s="9">
        <v>22350</v>
      </c>
      <c r="AQ27" s="9">
        <v>22530</v>
      </c>
      <c r="AR27" s="9">
        <v>22700</v>
      </c>
      <c r="AS27" s="9">
        <v>22840</v>
      </c>
      <c r="AT27" s="9">
        <v>22960</v>
      </c>
      <c r="AU27" s="9">
        <v>23060</v>
      </c>
      <c r="AV27" s="9">
        <v>23130</v>
      </c>
      <c r="AW27" s="9">
        <v>23180</v>
      </c>
      <c r="AX27" s="9">
        <v>23200</v>
      </c>
      <c r="AY27" s="9">
        <v>23210</v>
      </c>
      <c r="AZ27" s="9">
        <v>23190</v>
      </c>
      <c r="BA27" s="9">
        <v>23150</v>
      </c>
      <c r="BB27" s="9">
        <v>23100</v>
      </c>
      <c r="BC27" s="9">
        <v>23040</v>
      </c>
      <c r="BD27" s="9">
        <v>22990</v>
      </c>
      <c r="BE27" s="9">
        <v>22940</v>
      </c>
      <c r="BF27" s="9">
        <v>22900</v>
      </c>
      <c r="BG27" s="9">
        <v>22880</v>
      </c>
      <c r="BH27" s="9">
        <v>22880</v>
      </c>
      <c r="BI27" s="9">
        <v>22890</v>
      </c>
      <c r="BJ27" s="9">
        <v>22910</v>
      </c>
      <c r="BK27" s="9">
        <v>22940</v>
      </c>
      <c r="BL27" s="9">
        <v>22970</v>
      </c>
      <c r="BM27" s="9">
        <v>23000</v>
      </c>
      <c r="BN27" s="9">
        <v>23030</v>
      </c>
      <c r="BO27" s="9">
        <v>23050</v>
      </c>
    </row>
    <row r="28" spans="1:67" x14ac:dyDescent="0.2">
      <c r="C28" s="3">
        <v>25</v>
      </c>
      <c r="E28" s="9">
        <v>19440</v>
      </c>
      <c r="F28" s="9">
        <v>20010</v>
      </c>
      <c r="G28" s="9">
        <v>20570</v>
      </c>
      <c r="H28" s="9">
        <v>20850</v>
      </c>
      <c r="I28" s="9">
        <v>21180</v>
      </c>
      <c r="J28" s="9">
        <v>21320</v>
      </c>
      <c r="K28" s="9">
        <v>21150</v>
      </c>
      <c r="L28" s="9">
        <v>22080</v>
      </c>
      <c r="M28" s="9">
        <v>22060</v>
      </c>
      <c r="N28" s="9">
        <v>23730</v>
      </c>
      <c r="O28" s="9">
        <v>24770</v>
      </c>
      <c r="P28" s="9">
        <v>24110</v>
      </c>
      <c r="Q28" s="9">
        <v>24120</v>
      </c>
      <c r="R28" s="9">
        <v>23690</v>
      </c>
      <c r="S28" s="9">
        <v>23730</v>
      </c>
      <c r="T28" s="9">
        <v>23340</v>
      </c>
      <c r="U28" s="9">
        <v>23410</v>
      </c>
      <c r="V28" s="9">
        <v>23100</v>
      </c>
      <c r="W28" s="9">
        <v>22420</v>
      </c>
      <c r="X28" s="9">
        <v>23100</v>
      </c>
      <c r="Y28" s="9">
        <v>22790</v>
      </c>
      <c r="Z28" s="9">
        <v>21950</v>
      </c>
      <c r="AA28" s="9">
        <v>21730</v>
      </c>
      <c r="AB28" s="9">
        <v>22120</v>
      </c>
      <c r="AC28" s="9">
        <v>21960</v>
      </c>
      <c r="AD28" s="9">
        <v>22460</v>
      </c>
      <c r="AE28" s="9">
        <v>23340</v>
      </c>
      <c r="AF28" s="9">
        <v>24170</v>
      </c>
      <c r="AG28" s="9">
        <v>23830</v>
      </c>
      <c r="AH28" s="9">
        <v>24370</v>
      </c>
      <c r="AI28" s="9">
        <v>23860</v>
      </c>
      <c r="AJ28" s="9">
        <v>23420</v>
      </c>
      <c r="AK28" s="9">
        <v>22960</v>
      </c>
      <c r="AL28" s="9">
        <v>22220</v>
      </c>
      <c r="AM28" s="9">
        <v>22020</v>
      </c>
      <c r="AN28" s="9">
        <v>22300</v>
      </c>
      <c r="AO28" s="9">
        <v>22530</v>
      </c>
      <c r="AP28" s="9">
        <v>22730</v>
      </c>
      <c r="AQ28" s="9">
        <v>22930</v>
      </c>
      <c r="AR28" s="9">
        <v>23110</v>
      </c>
      <c r="AS28" s="9">
        <v>23280</v>
      </c>
      <c r="AT28" s="9">
        <v>23430</v>
      </c>
      <c r="AU28" s="9">
        <v>23550</v>
      </c>
      <c r="AV28" s="9">
        <v>23650</v>
      </c>
      <c r="AW28" s="9">
        <v>23720</v>
      </c>
      <c r="AX28" s="9">
        <v>23770</v>
      </c>
      <c r="AY28" s="9">
        <v>23800</v>
      </c>
      <c r="AZ28" s="9">
        <v>23800</v>
      </c>
      <c r="BA28" s="9">
        <v>23790</v>
      </c>
      <c r="BB28" s="9">
        <v>23750</v>
      </c>
      <c r="BC28" s="9">
        <v>23700</v>
      </c>
      <c r="BD28" s="9">
        <v>23640</v>
      </c>
      <c r="BE28" s="9">
        <v>23580</v>
      </c>
      <c r="BF28" s="9">
        <v>23530</v>
      </c>
      <c r="BG28" s="9">
        <v>23490</v>
      </c>
      <c r="BH28" s="9">
        <v>23470</v>
      </c>
      <c r="BI28" s="9">
        <v>23470</v>
      </c>
      <c r="BJ28" s="9">
        <v>23480</v>
      </c>
      <c r="BK28" s="9">
        <v>23500</v>
      </c>
      <c r="BL28" s="9">
        <v>23530</v>
      </c>
      <c r="BM28" s="9">
        <v>23570</v>
      </c>
      <c r="BN28" s="9">
        <v>23600</v>
      </c>
      <c r="BO28" s="9">
        <v>23620</v>
      </c>
    </row>
    <row r="29" spans="1:67" x14ac:dyDescent="0.2">
      <c r="C29" s="3">
        <v>26</v>
      </c>
      <c r="E29" s="9">
        <v>19370</v>
      </c>
      <c r="F29" s="9">
        <v>19770</v>
      </c>
      <c r="G29" s="9">
        <v>20240</v>
      </c>
      <c r="H29" s="9">
        <v>20980</v>
      </c>
      <c r="I29" s="9">
        <v>21380</v>
      </c>
      <c r="J29" s="9">
        <v>21490</v>
      </c>
      <c r="K29" s="9">
        <v>21720</v>
      </c>
      <c r="L29" s="9">
        <v>21600</v>
      </c>
      <c r="M29" s="9">
        <v>22150</v>
      </c>
      <c r="N29" s="9">
        <v>23110</v>
      </c>
      <c r="O29" s="9">
        <v>24560</v>
      </c>
      <c r="P29" s="9">
        <v>25360</v>
      </c>
      <c r="Q29" s="9">
        <v>24710</v>
      </c>
      <c r="R29" s="9">
        <v>24720</v>
      </c>
      <c r="S29" s="9">
        <v>24290</v>
      </c>
      <c r="T29" s="9">
        <v>24330</v>
      </c>
      <c r="U29" s="9">
        <v>23930</v>
      </c>
      <c r="V29" s="9">
        <v>24020</v>
      </c>
      <c r="W29" s="9">
        <v>23700</v>
      </c>
      <c r="X29" s="9">
        <v>23020</v>
      </c>
      <c r="Y29" s="9">
        <v>23700</v>
      </c>
      <c r="Z29" s="9">
        <v>23390</v>
      </c>
      <c r="AA29" s="9">
        <v>22540</v>
      </c>
      <c r="AB29" s="9">
        <v>22310</v>
      </c>
      <c r="AC29" s="9">
        <v>22720</v>
      </c>
      <c r="AD29" s="9">
        <v>22550</v>
      </c>
      <c r="AE29" s="9">
        <v>23060</v>
      </c>
      <c r="AF29" s="9">
        <v>23960</v>
      </c>
      <c r="AG29" s="9">
        <v>24800</v>
      </c>
      <c r="AH29" s="9">
        <v>24440</v>
      </c>
      <c r="AI29" s="9">
        <v>24990</v>
      </c>
      <c r="AJ29" s="9">
        <v>24480</v>
      </c>
      <c r="AK29" s="9">
        <v>24030</v>
      </c>
      <c r="AL29" s="9">
        <v>23560</v>
      </c>
      <c r="AM29" s="9">
        <v>22820</v>
      </c>
      <c r="AN29" s="9">
        <v>22610</v>
      </c>
      <c r="AO29" s="9">
        <v>22890</v>
      </c>
      <c r="AP29" s="9">
        <v>23130</v>
      </c>
      <c r="AQ29" s="9">
        <v>23330</v>
      </c>
      <c r="AR29" s="9">
        <v>23530</v>
      </c>
      <c r="AS29" s="9">
        <v>23720</v>
      </c>
      <c r="AT29" s="9">
        <v>23890</v>
      </c>
      <c r="AU29" s="9">
        <v>24040</v>
      </c>
      <c r="AV29" s="9">
        <v>24160</v>
      </c>
      <c r="AW29" s="9">
        <v>24260</v>
      </c>
      <c r="AX29" s="9">
        <v>24340</v>
      </c>
      <c r="AY29" s="9">
        <v>24390</v>
      </c>
      <c r="AZ29" s="9">
        <v>24420</v>
      </c>
      <c r="BA29" s="9">
        <v>24420</v>
      </c>
      <c r="BB29" s="9">
        <v>24400</v>
      </c>
      <c r="BC29" s="9">
        <v>24360</v>
      </c>
      <c r="BD29" s="9">
        <v>24310</v>
      </c>
      <c r="BE29" s="9">
        <v>24250</v>
      </c>
      <c r="BF29" s="9">
        <v>24190</v>
      </c>
      <c r="BG29" s="9">
        <v>24140</v>
      </c>
      <c r="BH29" s="9">
        <v>24100</v>
      </c>
      <c r="BI29" s="9">
        <v>24080</v>
      </c>
      <c r="BJ29" s="9">
        <v>24080</v>
      </c>
      <c r="BK29" s="9">
        <v>24090</v>
      </c>
      <c r="BL29" s="9">
        <v>24120</v>
      </c>
      <c r="BM29" s="9">
        <v>24150</v>
      </c>
      <c r="BN29" s="9">
        <v>24180</v>
      </c>
      <c r="BO29" s="9">
        <v>24210</v>
      </c>
    </row>
    <row r="30" spans="1:67" x14ac:dyDescent="0.2">
      <c r="C30" s="3">
        <v>27</v>
      </c>
      <c r="E30" s="9">
        <v>19510</v>
      </c>
      <c r="F30" s="9">
        <v>19750</v>
      </c>
      <c r="G30" s="9">
        <v>20120</v>
      </c>
      <c r="H30" s="9">
        <v>20730</v>
      </c>
      <c r="I30" s="9">
        <v>21470</v>
      </c>
      <c r="J30" s="9">
        <v>21670</v>
      </c>
      <c r="K30" s="9">
        <v>21850</v>
      </c>
      <c r="L30" s="9">
        <v>22130</v>
      </c>
      <c r="M30" s="9">
        <v>21520</v>
      </c>
      <c r="N30" s="9">
        <v>23080</v>
      </c>
      <c r="O30" s="9">
        <v>23830</v>
      </c>
      <c r="P30" s="9">
        <v>25060</v>
      </c>
      <c r="Q30" s="9">
        <v>25860</v>
      </c>
      <c r="R30" s="9">
        <v>25200</v>
      </c>
      <c r="S30" s="9">
        <v>25210</v>
      </c>
      <c r="T30" s="9">
        <v>24770</v>
      </c>
      <c r="U30" s="9">
        <v>24810</v>
      </c>
      <c r="V30" s="9">
        <v>24410</v>
      </c>
      <c r="W30" s="9">
        <v>24480</v>
      </c>
      <c r="X30" s="9">
        <v>24160</v>
      </c>
      <c r="Y30" s="9">
        <v>23470</v>
      </c>
      <c r="Z30" s="9">
        <v>24160</v>
      </c>
      <c r="AA30" s="9">
        <v>23850</v>
      </c>
      <c r="AB30" s="9">
        <v>22990</v>
      </c>
      <c r="AC30" s="9">
        <v>22760</v>
      </c>
      <c r="AD30" s="9">
        <v>23160</v>
      </c>
      <c r="AE30" s="9">
        <v>23000</v>
      </c>
      <c r="AF30" s="9">
        <v>23500</v>
      </c>
      <c r="AG30" s="9">
        <v>24400</v>
      </c>
      <c r="AH30" s="9">
        <v>25240</v>
      </c>
      <c r="AI30" s="9">
        <v>24890</v>
      </c>
      <c r="AJ30" s="9">
        <v>25430</v>
      </c>
      <c r="AK30" s="9">
        <v>24920</v>
      </c>
      <c r="AL30" s="9">
        <v>24470</v>
      </c>
      <c r="AM30" s="9">
        <v>24000</v>
      </c>
      <c r="AN30" s="9">
        <v>23250</v>
      </c>
      <c r="AO30" s="9">
        <v>23040</v>
      </c>
      <c r="AP30" s="9">
        <v>23330</v>
      </c>
      <c r="AQ30" s="9">
        <v>23570</v>
      </c>
      <c r="AR30" s="9">
        <v>23770</v>
      </c>
      <c r="AS30" s="9">
        <v>23970</v>
      </c>
      <c r="AT30" s="9">
        <v>24160</v>
      </c>
      <c r="AU30" s="9">
        <v>24330</v>
      </c>
      <c r="AV30" s="9">
        <v>24480</v>
      </c>
      <c r="AW30" s="9">
        <v>24600</v>
      </c>
      <c r="AX30" s="9">
        <v>24700</v>
      </c>
      <c r="AY30" s="9">
        <v>24780</v>
      </c>
      <c r="AZ30" s="9">
        <v>24830</v>
      </c>
      <c r="BA30" s="9">
        <v>24860</v>
      </c>
      <c r="BB30" s="9">
        <v>24860</v>
      </c>
      <c r="BC30" s="9">
        <v>24850</v>
      </c>
      <c r="BD30" s="9">
        <v>24810</v>
      </c>
      <c r="BE30" s="9">
        <v>24750</v>
      </c>
      <c r="BF30" s="9">
        <v>24690</v>
      </c>
      <c r="BG30" s="9">
        <v>24630</v>
      </c>
      <c r="BH30" s="9">
        <v>24580</v>
      </c>
      <c r="BI30" s="9">
        <v>24540</v>
      </c>
      <c r="BJ30" s="9">
        <v>24520</v>
      </c>
      <c r="BK30" s="9">
        <v>24520</v>
      </c>
      <c r="BL30" s="9">
        <v>24530</v>
      </c>
      <c r="BM30" s="9">
        <v>24560</v>
      </c>
      <c r="BN30" s="9">
        <v>24590</v>
      </c>
      <c r="BO30" s="9">
        <v>24620</v>
      </c>
    </row>
    <row r="31" spans="1:67" x14ac:dyDescent="0.2">
      <c r="C31" s="3">
        <v>28</v>
      </c>
      <c r="E31" s="9">
        <v>19080</v>
      </c>
      <c r="F31" s="9">
        <v>19930</v>
      </c>
      <c r="G31" s="9">
        <v>20130</v>
      </c>
      <c r="H31" s="9">
        <v>20590</v>
      </c>
      <c r="I31" s="9">
        <v>21200</v>
      </c>
      <c r="J31" s="9">
        <v>21870</v>
      </c>
      <c r="K31" s="9">
        <v>22020</v>
      </c>
      <c r="L31" s="9">
        <v>22250</v>
      </c>
      <c r="M31" s="9">
        <v>21400</v>
      </c>
      <c r="N31" s="9">
        <v>22410</v>
      </c>
      <c r="O31" s="9">
        <v>23780</v>
      </c>
      <c r="P31" s="9">
        <v>24320</v>
      </c>
      <c r="Q31" s="9">
        <v>25560</v>
      </c>
      <c r="R31" s="9">
        <v>26370</v>
      </c>
      <c r="S31" s="9">
        <v>25700</v>
      </c>
      <c r="T31" s="9">
        <v>25700</v>
      </c>
      <c r="U31" s="9">
        <v>25260</v>
      </c>
      <c r="V31" s="9">
        <v>25300</v>
      </c>
      <c r="W31" s="9">
        <v>24890</v>
      </c>
      <c r="X31" s="9">
        <v>24970</v>
      </c>
      <c r="Y31" s="9">
        <v>24640</v>
      </c>
      <c r="Z31" s="9">
        <v>23950</v>
      </c>
      <c r="AA31" s="9">
        <v>24630</v>
      </c>
      <c r="AB31" s="9">
        <v>24320</v>
      </c>
      <c r="AC31" s="9">
        <v>23450</v>
      </c>
      <c r="AD31" s="9">
        <v>23220</v>
      </c>
      <c r="AE31" s="9">
        <v>23630</v>
      </c>
      <c r="AF31" s="9">
        <v>23460</v>
      </c>
      <c r="AG31" s="9">
        <v>23960</v>
      </c>
      <c r="AH31" s="9">
        <v>24870</v>
      </c>
      <c r="AI31" s="9">
        <v>25710</v>
      </c>
      <c r="AJ31" s="9">
        <v>25350</v>
      </c>
      <c r="AK31" s="9">
        <v>25900</v>
      </c>
      <c r="AL31" s="9">
        <v>25380</v>
      </c>
      <c r="AM31" s="9">
        <v>24930</v>
      </c>
      <c r="AN31" s="9">
        <v>24460</v>
      </c>
      <c r="AO31" s="9">
        <v>23710</v>
      </c>
      <c r="AP31" s="9">
        <v>23500</v>
      </c>
      <c r="AQ31" s="9">
        <v>23790</v>
      </c>
      <c r="AR31" s="9">
        <v>24030</v>
      </c>
      <c r="AS31" s="9">
        <v>24230</v>
      </c>
      <c r="AT31" s="9">
        <v>24430</v>
      </c>
      <c r="AU31" s="9">
        <v>24620</v>
      </c>
      <c r="AV31" s="9">
        <v>24790</v>
      </c>
      <c r="AW31" s="9">
        <v>24940</v>
      </c>
      <c r="AX31" s="9">
        <v>25070</v>
      </c>
      <c r="AY31" s="9">
        <v>25170</v>
      </c>
      <c r="AZ31" s="9">
        <v>25250</v>
      </c>
      <c r="BA31" s="9">
        <v>25300</v>
      </c>
      <c r="BB31" s="9">
        <v>25330</v>
      </c>
      <c r="BC31" s="9">
        <v>25330</v>
      </c>
      <c r="BD31" s="9">
        <v>25310</v>
      </c>
      <c r="BE31" s="9">
        <v>25270</v>
      </c>
      <c r="BF31" s="9">
        <v>25220</v>
      </c>
      <c r="BG31" s="9">
        <v>25160</v>
      </c>
      <c r="BH31" s="9">
        <v>25100</v>
      </c>
      <c r="BI31" s="9">
        <v>25050</v>
      </c>
      <c r="BJ31" s="9">
        <v>25010</v>
      </c>
      <c r="BK31" s="9">
        <v>24990</v>
      </c>
      <c r="BL31" s="9">
        <v>24990</v>
      </c>
      <c r="BM31" s="9">
        <v>25000</v>
      </c>
      <c r="BN31" s="9">
        <v>25020</v>
      </c>
      <c r="BO31" s="9">
        <v>25060</v>
      </c>
    </row>
    <row r="32" spans="1:67" x14ac:dyDescent="0.2">
      <c r="C32" s="3">
        <v>29</v>
      </c>
      <c r="E32" s="9">
        <v>19630</v>
      </c>
      <c r="F32" s="9">
        <v>19430</v>
      </c>
      <c r="G32" s="9">
        <v>20220</v>
      </c>
      <c r="H32" s="9">
        <v>20490</v>
      </c>
      <c r="I32" s="9">
        <v>20930</v>
      </c>
      <c r="J32" s="9">
        <v>21470</v>
      </c>
      <c r="K32" s="9">
        <v>22080</v>
      </c>
      <c r="L32" s="9">
        <v>22260</v>
      </c>
      <c r="M32" s="9">
        <v>21580</v>
      </c>
      <c r="N32" s="9">
        <v>22090</v>
      </c>
      <c r="O32" s="9">
        <v>22920</v>
      </c>
      <c r="P32" s="9">
        <v>24100</v>
      </c>
      <c r="Q32" s="9">
        <v>24630</v>
      </c>
      <c r="R32" s="9">
        <v>25860</v>
      </c>
      <c r="S32" s="9">
        <v>26660</v>
      </c>
      <c r="T32" s="9">
        <v>25990</v>
      </c>
      <c r="U32" s="9">
        <v>25990</v>
      </c>
      <c r="V32" s="9">
        <v>25540</v>
      </c>
      <c r="W32" s="9">
        <v>25580</v>
      </c>
      <c r="X32" s="9">
        <v>25170</v>
      </c>
      <c r="Y32" s="9">
        <v>25240</v>
      </c>
      <c r="Z32" s="9">
        <v>24910</v>
      </c>
      <c r="AA32" s="9">
        <v>24210</v>
      </c>
      <c r="AB32" s="9">
        <v>24890</v>
      </c>
      <c r="AC32" s="9">
        <v>24580</v>
      </c>
      <c r="AD32" s="9">
        <v>23720</v>
      </c>
      <c r="AE32" s="9">
        <v>23480</v>
      </c>
      <c r="AF32" s="9">
        <v>23880</v>
      </c>
      <c r="AG32" s="9">
        <v>23710</v>
      </c>
      <c r="AH32" s="9">
        <v>24220</v>
      </c>
      <c r="AI32" s="9">
        <v>25110</v>
      </c>
      <c r="AJ32" s="9">
        <v>25950</v>
      </c>
      <c r="AK32" s="9">
        <v>25590</v>
      </c>
      <c r="AL32" s="9">
        <v>26140</v>
      </c>
      <c r="AM32" s="9">
        <v>25630</v>
      </c>
      <c r="AN32" s="9">
        <v>25180</v>
      </c>
      <c r="AO32" s="9">
        <v>24710</v>
      </c>
      <c r="AP32" s="9">
        <v>23960</v>
      </c>
      <c r="AQ32" s="9">
        <v>23750</v>
      </c>
      <c r="AR32" s="9">
        <v>24040</v>
      </c>
      <c r="AS32" s="9">
        <v>24280</v>
      </c>
      <c r="AT32" s="9">
        <v>24480</v>
      </c>
      <c r="AU32" s="9">
        <v>24680</v>
      </c>
      <c r="AV32" s="9">
        <v>24870</v>
      </c>
      <c r="AW32" s="9">
        <v>25040</v>
      </c>
      <c r="AX32" s="9">
        <v>25190</v>
      </c>
      <c r="AY32" s="9">
        <v>25310</v>
      </c>
      <c r="AZ32" s="9">
        <v>25410</v>
      </c>
      <c r="BA32" s="9">
        <v>25490</v>
      </c>
      <c r="BB32" s="9">
        <v>25540</v>
      </c>
      <c r="BC32" s="9">
        <v>25570</v>
      </c>
      <c r="BD32" s="9">
        <v>25570</v>
      </c>
      <c r="BE32" s="9">
        <v>25560</v>
      </c>
      <c r="BF32" s="9">
        <v>25520</v>
      </c>
      <c r="BG32" s="9">
        <v>25470</v>
      </c>
      <c r="BH32" s="9">
        <v>25410</v>
      </c>
      <c r="BI32" s="9">
        <v>25350</v>
      </c>
      <c r="BJ32" s="9">
        <v>25290</v>
      </c>
      <c r="BK32" s="9">
        <v>25260</v>
      </c>
      <c r="BL32" s="9">
        <v>25240</v>
      </c>
      <c r="BM32" s="9">
        <v>25230</v>
      </c>
      <c r="BN32" s="9">
        <v>25250</v>
      </c>
      <c r="BO32" s="9">
        <v>25270</v>
      </c>
    </row>
    <row r="33" spans="3:67" x14ac:dyDescent="0.2">
      <c r="C33" s="3">
        <v>30</v>
      </c>
      <c r="E33" s="9">
        <v>19760</v>
      </c>
      <c r="F33" s="9">
        <v>19920</v>
      </c>
      <c r="G33" s="9">
        <v>19690</v>
      </c>
      <c r="H33" s="9">
        <v>20540</v>
      </c>
      <c r="I33" s="9">
        <v>20830</v>
      </c>
      <c r="J33" s="9">
        <v>21140</v>
      </c>
      <c r="K33" s="9">
        <v>21660</v>
      </c>
      <c r="L33" s="9">
        <v>22290</v>
      </c>
      <c r="M33" s="9">
        <v>21460</v>
      </c>
      <c r="N33" s="9">
        <v>22160</v>
      </c>
      <c r="O33" s="9">
        <v>22530</v>
      </c>
      <c r="P33" s="9">
        <v>23210</v>
      </c>
      <c r="Q33" s="9">
        <v>24390</v>
      </c>
      <c r="R33" s="9">
        <v>24920</v>
      </c>
      <c r="S33" s="9">
        <v>26140</v>
      </c>
      <c r="T33" s="9">
        <v>26940</v>
      </c>
      <c r="U33" s="9">
        <v>26260</v>
      </c>
      <c r="V33" s="9">
        <v>26260</v>
      </c>
      <c r="W33" s="9">
        <v>25820</v>
      </c>
      <c r="X33" s="9">
        <v>25850</v>
      </c>
      <c r="Y33" s="9">
        <v>25440</v>
      </c>
      <c r="Z33" s="9">
        <v>25510</v>
      </c>
      <c r="AA33" s="9">
        <v>25180</v>
      </c>
      <c r="AB33" s="9">
        <v>24490</v>
      </c>
      <c r="AC33" s="9">
        <v>25160</v>
      </c>
      <c r="AD33" s="9">
        <v>24850</v>
      </c>
      <c r="AE33" s="9">
        <v>23990</v>
      </c>
      <c r="AF33" s="9">
        <v>23750</v>
      </c>
      <c r="AG33" s="9">
        <v>24150</v>
      </c>
      <c r="AH33" s="9">
        <v>23980</v>
      </c>
      <c r="AI33" s="9">
        <v>24480</v>
      </c>
      <c r="AJ33" s="9">
        <v>25370</v>
      </c>
      <c r="AK33" s="9">
        <v>26210</v>
      </c>
      <c r="AL33" s="9">
        <v>25850</v>
      </c>
      <c r="AM33" s="9">
        <v>26400</v>
      </c>
      <c r="AN33" s="9">
        <v>25880</v>
      </c>
      <c r="AO33" s="9">
        <v>25440</v>
      </c>
      <c r="AP33" s="9">
        <v>24970</v>
      </c>
      <c r="AQ33" s="9">
        <v>24230</v>
      </c>
      <c r="AR33" s="9">
        <v>24020</v>
      </c>
      <c r="AS33" s="9">
        <v>24300</v>
      </c>
      <c r="AT33" s="9">
        <v>24540</v>
      </c>
      <c r="AU33" s="9">
        <v>24740</v>
      </c>
      <c r="AV33" s="9">
        <v>24940</v>
      </c>
      <c r="AW33" s="9">
        <v>25130</v>
      </c>
      <c r="AX33" s="9">
        <v>25300</v>
      </c>
      <c r="AY33" s="9">
        <v>25450</v>
      </c>
      <c r="AZ33" s="9">
        <v>25570</v>
      </c>
      <c r="BA33" s="9">
        <v>25670</v>
      </c>
      <c r="BB33" s="9">
        <v>25750</v>
      </c>
      <c r="BC33" s="9">
        <v>25800</v>
      </c>
      <c r="BD33" s="9">
        <v>25830</v>
      </c>
      <c r="BE33" s="9">
        <v>25830</v>
      </c>
      <c r="BF33" s="9">
        <v>25820</v>
      </c>
      <c r="BG33" s="9">
        <v>25780</v>
      </c>
      <c r="BH33" s="9">
        <v>25730</v>
      </c>
      <c r="BI33" s="9">
        <v>25670</v>
      </c>
      <c r="BJ33" s="9">
        <v>25610</v>
      </c>
      <c r="BK33" s="9">
        <v>25550</v>
      </c>
      <c r="BL33" s="9">
        <v>25520</v>
      </c>
      <c r="BM33" s="9">
        <v>25500</v>
      </c>
      <c r="BN33" s="9">
        <v>25500</v>
      </c>
      <c r="BO33" s="9">
        <v>25510</v>
      </c>
    </row>
    <row r="34" spans="3:67" x14ac:dyDescent="0.2">
      <c r="C34" s="3">
        <v>31</v>
      </c>
      <c r="E34" s="9">
        <v>20840</v>
      </c>
      <c r="F34" s="9">
        <v>20010</v>
      </c>
      <c r="G34" s="9">
        <v>20070</v>
      </c>
      <c r="H34" s="9">
        <v>19930</v>
      </c>
      <c r="I34" s="9">
        <v>20740</v>
      </c>
      <c r="J34" s="9">
        <v>20950</v>
      </c>
      <c r="K34" s="9">
        <v>21260</v>
      </c>
      <c r="L34" s="9">
        <v>21810</v>
      </c>
      <c r="M34" s="9">
        <v>21500</v>
      </c>
      <c r="N34" s="9">
        <v>21940</v>
      </c>
      <c r="O34" s="9">
        <v>22510</v>
      </c>
      <c r="P34" s="9">
        <v>22750</v>
      </c>
      <c r="Q34" s="9">
        <v>23430</v>
      </c>
      <c r="R34" s="9">
        <v>24600</v>
      </c>
      <c r="S34" s="9">
        <v>25130</v>
      </c>
      <c r="T34" s="9">
        <v>26340</v>
      </c>
      <c r="U34" s="9">
        <v>27130</v>
      </c>
      <c r="V34" s="9">
        <v>26460</v>
      </c>
      <c r="W34" s="9">
        <v>26460</v>
      </c>
      <c r="X34" s="9">
        <v>26020</v>
      </c>
      <c r="Y34" s="9">
        <v>26050</v>
      </c>
      <c r="Z34" s="9">
        <v>25640</v>
      </c>
      <c r="AA34" s="9">
        <v>25710</v>
      </c>
      <c r="AB34" s="9">
        <v>25380</v>
      </c>
      <c r="AC34" s="9">
        <v>24690</v>
      </c>
      <c r="AD34" s="9">
        <v>25360</v>
      </c>
      <c r="AE34" s="9">
        <v>25050</v>
      </c>
      <c r="AF34" s="9">
        <v>24190</v>
      </c>
      <c r="AG34" s="9">
        <v>23960</v>
      </c>
      <c r="AH34" s="9">
        <v>24350</v>
      </c>
      <c r="AI34" s="9">
        <v>24180</v>
      </c>
      <c r="AJ34" s="9">
        <v>24670</v>
      </c>
      <c r="AK34" s="9">
        <v>25560</v>
      </c>
      <c r="AL34" s="9">
        <v>26390</v>
      </c>
      <c r="AM34" s="9">
        <v>26040</v>
      </c>
      <c r="AN34" s="9">
        <v>26580</v>
      </c>
      <c r="AO34" s="9">
        <v>26070</v>
      </c>
      <c r="AP34" s="9">
        <v>25630</v>
      </c>
      <c r="AQ34" s="9">
        <v>25170</v>
      </c>
      <c r="AR34" s="9">
        <v>24430</v>
      </c>
      <c r="AS34" s="9">
        <v>24220</v>
      </c>
      <c r="AT34" s="9">
        <v>24500</v>
      </c>
      <c r="AU34" s="9">
        <v>24740</v>
      </c>
      <c r="AV34" s="9">
        <v>24940</v>
      </c>
      <c r="AW34" s="9">
        <v>25140</v>
      </c>
      <c r="AX34" s="9">
        <v>25330</v>
      </c>
      <c r="AY34" s="9">
        <v>25490</v>
      </c>
      <c r="AZ34" s="9">
        <v>25640</v>
      </c>
      <c r="BA34" s="9">
        <v>25770</v>
      </c>
      <c r="BB34" s="9">
        <v>25870</v>
      </c>
      <c r="BC34" s="9">
        <v>25940</v>
      </c>
      <c r="BD34" s="9">
        <v>25990</v>
      </c>
      <c r="BE34" s="9">
        <v>26020</v>
      </c>
      <c r="BF34" s="9">
        <v>26030</v>
      </c>
      <c r="BG34" s="9">
        <v>26010</v>
      </c>
      <c r="BH34" s="9">
        <v>25970</v>
      </c>
      <c r="BI34" s="9">
        <v>25920</v>
      </c>
      <c r="BJ34" s="9">
        <v>25860</v>
      </c>
      <c r="BK34" s="9">
        <v>25800</v>
      </c>
      <c r="BL34" s="9">
        <v>25750</v>
      </c>
      <c r="BM34" s="9">
        <v>25710</v>
      </c>
      <c r="BN34" s="9">
        <v>25690</v>
      </c>
      <c r="BO34" s="9">
        <v>25690</v>
      </c>
    </row>
    <row r="35" spans="3:67" x14ac:dyDescent="0.2">
      <c r="C35" s="3">
        <v>32</v>
      </c>
      <c r="E35" s="9">
        <v>21690</v>
      </c>
      <c r="F35" s="9">
        <v>20960</v>
      </c>
      <c r="G35" s="9">
        <v>20060</v>
      </c>
      <c r="H35" s="9">
        <v>20160</v>
      </c>
      <c r="I35" s="9">
        <v>19990</v>
      </c>
      <c r="J35" s="9">
        <v>20740</v>
      </c>
      <c r="K35" s="9">
        <v>20950</v>
      </c>
      <c r="L35" s="9">
        <v>21280</v>
      </c>
      <c r="M35" s="9">
        <v>21160</v>
      </c>
      <c r="N35" s="9">
        <v>21830</v>
      </c>
      <c r="O35" s="9">
        <v>22150</v>
      </c>
      <c r="P35" s="9">
        <v>22600</v>
      </c>
      <c r="Q35" s="9">
        <v>22840</v>
      </c>
      <c r="R35" s="9">
        <v>23510</v>
      </c>
      <c r="S35" s="9">
        <v>24670</v>
      </c>
      <c r="T35" s="9">
        <v>25200</v>
      </c>
      <c r="U35" s="9">
        <v>26410</v>
      </c>
      <c r="V35" s="9">
        <v>27200</v>
      </c>
      <c r="W35" s="9">
        <v>26530</v>
      </c>
      <c r="X35" s="9">
        <v>26530</v>
      </c>
      <c r="Y35" s="9">
        <v>26080</v>
      </c>
      <c r="Z35" s="9">
        <v>26110</v>
      </c>
      <c r="AA35" s="9">
        <v>25700</v>
      </c>
      <c r="AB35" s="9">
        <v>25770</v>
      </c>
      <c r="AC35" s="9">
        <v>25440</v>
      </c>
      <c r="AD35" s="9">
        <v>24760</v>
      </c>
      <c r="AE35" s="9">
        <v>25420</v>
      </c>
      <c r="AF35" s="9">
        <v>25110</v>
      </c>
      <c r="AG35" s="9">
        <v>24260</v>
      </c>
      <c r="AH35" s="9">
        <v>24020</v>
      </c>
      <c r="AI35" s="9">
        <v>24410</v>
      </c>
      <c r="AJ35" s="9">
        <v>24240</v>
      </c>
      <c r="AK35" s="9">
        <v>24740</v>
      </c>
      <c r="AL35" s="9">
        <v>25620</v>
      </c>
      <c r="AM35" s="9">
        <v>26450</v>
      </c>
      <c r="AN35" s="9">
        <v>26100</v>
      </c>
      <c r="AO35" s="9">
        <v>26640</v>
      </c>
      <c r="AP35" s="9">
        <v>26130</v>
      </c>
      <c r="AQ35" s="9">
        <v>25690</v>
      </c>
      <c r="AR35" s="9">
        <v>25230</v>
      </c>
      <c r="AS35" s="9">
        <v>24490</v>
      </c>
      <c r="AT35" s="9">
        <v>24280</v>
      </c>
      <c r="AU35" s="9">
        <v>24560</v>
      </c>
      <c r="AV35" s="9">
        <v>24800</v>
      </c>
      <c r="AW35" s="9">
        <v>25000</v>
      </c>
      <c r="AX35" s="9">
        <v>25200</v>
      </c>
      <c r="AY35" s="9">
        <v>25390</v>
      </c>
      <c r="AZ35" s="9">
        <v>25550</v>
      </c>
      <c r="BA35" s="9">
        <v>25700</v>
      </c>
      <c r="BB35" s="9">
        <v>25830</v>
      </c>
      <c r="BC35" s="9">
        <v>25930</v>
      </c>
      <c r="BD35" s="9">
        <v>26000</v>
      </c>
      <c r="BE35" s="9">
        <v>26050</v>
      </c>
      <c r="BF35" s="9">
        <v>26080</v>
      </c>
      <c r="BG35" s="9">
        <v>26080</v>
      </c>
      <c r="BH35" s="9">
        <v>26070</v>
      </c>
      <c r="BI35" s="9">
        <v>26030</v>
      </c>
      <c r="BJ35" s="9">
        <v>25980</v>
      </c>
      <c r="BK35" s="9">
        <v>25920</v>
      </c>
      <c r="BL35" s="9">
        <v>25860</v>
      </c>
      <c r="BM35" s="9">
        <v>25810</v>
      </c>
      <c r="BN35" s="9">
        <v>25770</v>
      </c>
      <c r="BO35" s="9">
        <v>25750</v>
      </c>
    </row>
    <row r="36" spans="3:67" x14ac:dyDescent="0.2">
      <c r="C36" s="3">
        <v>33</v>
      </c>
      <c r="E36" s="9">
        <v>22530</v>
      </c>
      <c r="F36" s="9">
        <v>21800</v>
      </c>
      <c r="G36" s="9">
        <v>20980</v>
      </c>
      <c r="H36" s="9">
        <v>20080</v>
      </c>
      <c r="I36" s="9">
        <v>20190</v>
      </c>
      <c r="J36" s="9">
        <v>19980</v>
      </c>
      <c r="K36" s="9">
        <v>20680</v>
      </c>
      <c r="L36" s="9">
        <v>20910</v>
      </c>
      <c r="M36" s="9">
        <v>20670</v>
      </c>
      <c r="N36" s="9">
        <v>21400</v>
      </c>
      <c r="O36" s="9">
        <v>21970</v>
      </c>
      <c r="P36" s="9">
        <v>22180</v>
      </c>
      <c r="Q36" s="9">
        <v>22630</v>
      </c>
      <c r="R36" s="9">
        <v>22860</v>
      </c>
      <c r="S36" s="9">
        <v>23540</v>
      </c>
      <c r="T36" s="9">
        <v>24690</v>
      </c>
      <c r="U36" s="9">
        <v>25220</v>
      </c>
      <c r="V36" s="9">
        <v>26420</v>
      </c>
      <c r="W36" s="9">
        <v>27210</v>
      </c>
      <c r="X36" s="9">
        <v>26540</v>
      </c>
      <c r="Y36" s="9">
        <v>26540</v>
      </c>
      <c r="Z36" s="9">
        <v>26090</v>
      </c>
      <c r="AA36" s="9">
        <v>26120</v>
      </c>
      <c r="AB36" s="9">
        <v>25710</v>
      </c>
      <c r="AC36" s="9">
        <v>25780</v>
      </c>
      <c r="AD36" s="9">
        <v>25450</v>
      </c>
      <c r="AE36" s="9">
        <v>24770</v>
      </c>
      <c r="AF36" s="9">
        <v>25430</v>
      </c>
      <c r="AG36" s="9">
        <v>25120</v>
      </c>
      <c r="AH36" s="9">
        <v>24270</v>
      </c>
      <c r="AI36" s="9">
        <v>24030</v>
      </c>
      <c r="AJ36" s="9">
        <v>24420</v>
      </c>
      <c r="AK36" s="9">
        <v>24250</v>
      </c>
      <c r="AL36" s="9">
        <v>24740</v>
      </c>
      <c r="AM36" s="9">
        <v>25620</v>
      </c>
      <c r="AN36" s="9">
        <v>26450</v>
      </c>
      <c r="AO36" s="9">
        <v>26100</v>
      </c>
      <c r="AP36" s="9">
        <v>26640</v>
      </c>
      <c r="AQ36" s="9">
        <v>26130</v>
      </c>
      <c r="AR36" s="9">
        <v>25690</v>
      </c>
      <c r="AS36" s="9">
        <v>25230</v>
      </c>
      <c r="AT36" s="9">
        <v>24500</v>
      </c>
      <c r="AU36" s="9">
        <v>24290</v>
      </c>
      <c r="AV36" s="9">
        <v>24570</v>
      </c>
      <c r="AW36" s="9">
        <v>24810</v>
      </c>
      <c r="AX36" s="9">
        <v>25010</v>
      </c>
      <c r="AY36" s="9">
        <v>25200</v>
      </c>
      <c r="AZ36" s="9">
        <v>25390</v>
      </c>
      <c r="BA36" s="9">
        <v>25560</v>
      </c>
      <c r="BB36" s="9">
        <v>25710</v>
      </c>
      <c r="BC36" s="9">
        <v>25830</v>
      </c>
      <c r="BD36" s="9">
        <v>25930</v>
      </c>
      <c r="BE36" s="9">
        <v>26000</v>
      </c>
      <c r="BF36" s="9">
        <v>26050</v>
      </c>
      <c r="BG36" s="9">
        <v>26080</v>
      </c>
      <c r="BH36" s="9">
        <v>26090</v>
      </c>
      <c r="BI36" s="9">
        <v>26070</v>
      </c>
      <c r="BJ36" s="9">
        <v>26030</v>
      </c>
      <c r="BK36" s="9">
        <v>25980</v>
      </c>
      <c r="BL36" s="9">
        <v>25920</v>
      </c>
      <c r="BM36" s="9">
        <v>25860</v>
      </c>
      <c r="BN36" s="9">
        <v>25810</v>
      </c>
      <c r="BO36" s="9">
        <v>25780</v>
      </c>
    </row>
    <row r="37" spans="3:67" x14ac:dyDescent="0.2">
      <c r="C37" s="3">
        <v>34</v>
      </c>
      <c r="E37" s="9">
        <v>23540</v>
      </c>
      <c r="F37" s="9">
        <v>22620</v>
      </c>
      <c r="G37" s="9">
        <v>21850</v>
      </c>
      <c r="H37" s="9">
        <v>21010</v>
      </c>
      <c r="I37" s="9">
        <v>20150</v>
      </c>
      <c r="J37" s="9">
        <v>20150</v>
      </c>
      <c r="K37" s="9">
        <v>19910</v>
      </c>
      <c r="L37" s="9">
        <v>20620</v>
      </c>
      <c r="M37" s="9">
        <v>20610</v>
      </c>
      <c r="N37" s="9">
        <v>20910</v>
      </c>
      <c r="O37" s="9">
        <v>21530</v>
      </c>
      <c r="P37" s="9">
        <v>22000</v>
      </c>
      <c r="Q37" s="9">
        <v>22210</v>
      </c>
      <c r="R37" s="9">
        <v>22650</v>
      </c>
      <c r="S37" s="9">
        <v>22890</v>
      </c>
      <c r="T37" s="9">
        <v>23550</v>
      </c>
      <c r="U37" s="9">
        <v>24700</v>
      </c>
      <c r="V37" s="9">
        <v>25220</v>
      </c>
      <c r="W37" s="9">
        <v>26420</v>
      </c>
      <c r="X37" s="9">
        <v>27200</v>
      </c>
      <c r="Y37" s="9">
        <v>26540</v>
      </c>
      <c r="Z37" s="9">
        <v>26530</v>
      </c>
      <c r="AA37" s="9">
        <v>26090</v>
      </c>
      <c r="AB37" s="9">
        <v>26120</v>
      </c>
      <c r="AC37" s="9">
        <v>25710</v>
      </c>
      <c r="AD37" s="9">
        <v>25770</v>
      </c>
      <c r="AE37" s="9">
        <v>25440</v>
      </c>
      <c r="AF37" s="9">
        <v>24760</v>
      </c>
      <c r="AG37" s="9">
        <v>25420</v>
      </c>
      <c r="AH37" s="9">
        <v>25110</v>
      </c>
      <c r="AI37" s="9">
        <v>24260</v>
      </c>
      <c r="AJ37" s="9">
        <v>24020</v>
      </c>
      <c r="AK37" s="9">
        <v>24410</v>
      </c>
      <c r="AL37" s="9">
        <v>24240</v>
      </c>
      <c r="AM37" s="9">
        <v>24730</v>
      </c>
      <c r="AN37" s="9">
        <v>25610</v>
      </c>
      <c r="AO37" s="9">
        <v>26430</v>
      </c>
      <c r="AP37" s="9">
        <v>26080</v>
      </c>
      <c r="AQ37" s="9">
        <v>26620</v>
      </c>
      <c r="AR37" s="9">
        <v>26110</v>
      </c>
      <c r="AS37" s="9">
        <v>25680</v>
      </c>
      <c r="AT37" s="9">
        <v>25220</v>
      </c>
      <c r="AU37" s="9">
        <v>24490</v>
      </c>
      <c r="AV37" s="9">
        <v>24290</v>
      </c>
      <c r="AW37" s="9">
        <v>24570</v>
      </c>
      <c r="AX37" s="9">
        <v>24800</v>
      </c>
      <c r="AY37" s="9">
        <v>25000</v>
      </c>
      <c r="AZ37" s="9">
        <v>25190</v>
      </c>
      <c r="BA37" s="9">
        <v>25380</v>
      </c>
      <c r="BB37" s="9">
        <v>25550</v>
      </c>
      <c r="BC37" s="9">
        <v>25690</v>
      </c>
      <c r="BD37" s="9">
        <v>25820</v>
      </c>
      <c r="BE37" s="9">
        <v>25920</v>
      </c>
      <c r="BF37" s="9">
        <v>25990</v>
      </c>
      <c r="BG37" s="9">
        <v>26040</v>
      </c>
      <c r="BH37" s="9">
        <v>26070</v>
      </c>
      <c r="BI37" s="9">
        <v>26070</v>
      </c>
      <c r="BJ37" s="9">
        <v>26060</v>
      </c>
      <c r="BK37" s="9">
        <v>26020</v>
      </c>
      <c r="BL37" s="9">
        <v>25970</v>
      </c>
      <c r="BM37" s="9">
        <v>25910</v>
      </c>
      <c r="BN37" s="9">
        <v>25850</v>
      </c>
      <c r="BO37" s="9">
        <v>25800</v>
      </c>
    </row>
    <row r="38" spans="3:67" x14ac:dyDescent="0.2">
      <c r="C38" s="3">
        <v>35</v>
      </c>
      <c r="E38" s="9">
        <v>23960</v>
      </c>
      <c r="F38" s="9">
        <v>23670</v>
      </c>
      <c r="G38" s="9">
        <v>22670</v>
      </c>
      <c r="H38" s="9">
        <v>21960</v>
      </c>
      <c r="I38" s="9">
        <v>21100</v>
      </c>
      <c r="J38" s="9">
        <v>20160</v>
      </c>
      <c r="K38" s="9">
        <v>20100</v>
      </c>
      <c r="L38" s="9">
        <v>19880</v>
      </c>
      <c r="M38" s="9">
        <v>20700</v>
      </c>
      <c r="N38" s="9">
        <v>20890</v>
      </c>
      <c r="O38" s="9">
        <v>21080</v>
      </c>
      <c r="P38" s="9">
        <v>21600</v>
      </c>
      <c r="Q38" s="9">
        <v>22060</v>
      </c>
      <c r="R38" s="9">
        <v>22270</v>
      </c>
      <c r="S38" s="9">
        <v>22710</v>
      </c>
      <c r="T38" s="9">
        <v>22940</v>
      </c>
      <c r="U38" s="9">
        <v>23600</v>
      </c>
      <c r="V38" s="9">
        <v>24750</v>
      </c>
      <c r="W38" s="9">
        <v>25270</v>
      </c>
      <c r="X38" s="9">
        <v>26460</v>
      </c>
      <c r="Y38" s="9">
        <v>27240</v>
      </c>
      <c r="Z38" s="9">
        <v>26570</v>
      </c>
      <c r="AA38" s="9">
        <v>26560</v>
      </c>
      <c r="AB38" s="9">
        <v>26120</v>
      </c>
      <c r="AC38" s="9">
        <v>26150</v>
      </c>
      <c r="AD38" s="9">
        <v>25740</v>
      </c>
      <c r="AE38" s="9">
        <v>25800</v>
      </c>
      <c r="AF38" s="9">
        <v>25470</v>
      </c>
      <c r="AG38" s="9">
        <v>24790</v>
      </c>
      <c r="AH38" s="9">
        <v>25450</v>
      </c>
      <c r="AI38" s="9">
        <v>25130</v>
      </c>
      <c r="AJ38" s="9">
        <v>24290</v>
      </c>
      <c r="AK38" s="9">
        <v>24050</v>
      </c>
      <c r="AL38" s="9">
        <v>24440</v>
      </c>
      <c r="AM38" s="9">
        <v>24270</v>
      </c>
      <c r="AN38" s="9">
        <v>24760</v>
      </c>
      <c r="AO38" s="9">
        <v>25630</v>
      </c>
      <c r="AP38" s="9">
        <v>26450</v>
      </c>
      <c r="AQ38" s="9">
        <v>26110</v>
      </c>
      <c r="AR38" s="9">
        <v>26640</v>
      </c>
      <c r="AS38" s="9">
        <v>26140</v>
      </c>
      <c r="AT38" s="9">
        <v>25700</v>
      </c>
      <c r="AU38" s="9">
        <v>25250</v>
      </c>
      <c r="AV38" s="9">
        <v>24520</v>
      </c>
      <c r="AW38" s="9">
        <v>24320</v>
      </c>
      <c r="AX38" s="9">
        <v>24590</v>
      </c>
      <c r="AY38" s="9">
        <v>24830</v>
      </c>
      <c r="AZ38" s="9">
        <v>25030</v>
      </c>
      <c r="BA38" s="9">
        <v>25220</v>
      </c>
      <c r="BB38" s="9">
        <v>25410</v>
      </c>
      <c r="BC38" s="9">
        <v>25570</v>
      </c>
      <c r="BD38" s="9">
        <v>25720</v>
      </c>
      <c r="BE38" s="9">
        <v>25840</v>
      </c>
      <c r="BF38" s="9">
        <v>25940</v>
      </c>
      <c r="BG38" s="9">
        <v>26010</v>
      </c>
      <c r="BH38" s="9">
        <v>26070</v>
      </c>
      <c r="BI38" s="9">
        <v>26090</v>
      </c>
      <c r="BJ38" s="9">
        <v>26100</v>
      </c>
      <c r="BK38" s="9">
        <v>26080</v>
      </c>
      <c r="BL38" s="9">
        <v>26050</v>
      </c>
      <c r="BM38" s="9">
        <v>26000</v>
      </c>
      <c r="BN38" s="9">
        <v>25940</v>
      </c>
      <c r="BO38" s="9">
        <v>25880</v>
      </c>
    </row>
    <row r="39" spans="3:67" x14ac:dyDescent="0.2">
      <c r="C39" s="3">
        <v>36</v>
      </c>
      <c r="E39" s="9">
        <v>23420</v>
      </c>
      <c r="F39" s="9">
        <v>24180</v>
      </c>
      <c r="G39" s="9">
        <v>23810</v>
      </c>
      <c r="H39" s="9">
        <v>22840</v>
      </c>
      <c r="I39" s="9">
        <v>22060</v>
      </c>
      <c r="J39" s="9">
        <v>21130</v>
      </c>
      <c r="K39" s="9">
        <v>20150</v>
      </c>
      <c r="L39" s="9">
        <v>20100</v>
      </c>
      <c r="M39" s="9">
        <v>20160</v>
      </c>
      <c r="N39" s="9">
        <v>20990</v>
      </c>
      <c r="O39" s="9">
        <v>21080</v>
      </c>
      <c r="P39" s="9">
        <v>21160</v>
      </c>
      <c r="Q39" s="9">
        <v>21670</v>
      </c>
      <c r="R39" s="9">
        <v>22130</v>
      </c>
      <c r="S39" s="9">
        <v>22330</v>
      </c>
      <c r="T39" s="9">
        <v>22760</v>
      </c>
      <c r="U39" s="9">
        <v>22990</v>
      </c>
      <c r="V39" s="9">
        <v>23650</v>
      </c>
      <c r="W39" s="9">
        <v>24790</v>
      </c>
      <c r="X39" s="9">
        <v>25300</v>
      </c>
      <c r="Y39" s="9">
        <v>26490</v>
      </c>
      <c r="Z39" s="9">
        <v>27260</v>
      </c>
      <c r="AA39" s="9">
        <v>26590</v>
      </c>
      <c r="AB39" s="9">
        <v>26580</v>
      </c>
      <c r="AC39" s="9">
        <v>26140</v>
      </c>
      <c r="AD39" s="9">
        <v>26160</v>
      </c>
      <c r="AE39" s="9">
        <v>25750</v>
      </c>
      <c r="AF39" s="9">
        <v>25810</v>
      </c>
      <c r="AG39" s="9">
        <v>25480</v>
      </c>
      <c r="AH39" s="9">
        <v>24800</v>
      </c>
      <c r="AI39" s="9">
        <v>25450</v>
      </c>
      <c r="AJ39" s="9">
        <v>25140</v>
      </c>
      <c r="AK39" s="9">
        <v>24300</v>
      </c>
      <c r="AL39" s="9">
        <v>24060</v>
      </c>
      <c r="AM39" s="9">
        <v>24450</v>
      </c>
      <c r="AN39" s="9">
        <v>24280</v>
      </c>
      <c r="AO39" s="9">
        <v>24770</v>
      </c>
      <c r="AP39" s="9">
        <v>25640</v>
      </c>
      <c r="AQ39" s="9">
        <v>26460</v>
      </c>
      <c r="AR39" s="9">
        <v>26110</v>
      </c>
      <c r="AS39" s="9">
        <v>26650</v>
      </c>
      <c r="AT39" s="9">
        <v>26140</v>
      </c>
      <c r="AU39" s="9">
        <v>25710</v>
      </c>
      <c r="AV39" s="9">
        <v>25260</v>
      </c>
      <c r="AW39" s="9">
        <v>24530</v>
      </c>
      <c r="AX39" s="9">
        <v>24330</v>
      </c>
      <c r="AY39" s="9">
        <v>24600</v>
      </c>
      <c r="AZ39" s="9">
        <v>24840</v>
      </c>
      <c r="BA39" s="9">
        <v>25040</v>
      </c>
      <c r="BB39" s="9">
        <v>25230</v>
      </c>
      <c r="BC39" s="9">
        <v>25420</v>
      </c>
      <c r="BD39" s="9">
        <v>25580</v>
      </c>
      <c r="BE39" s="9">
        <v>25730</v>
      </c>
      <c r="BF39" s="9">
        <v>25850</v>
      </c>
      <c r="BG39" s="9">
        <v>25950</v>
      </c>
      <c r="BH39" s="9">
        <v>26020</v>
      </c>
      <c r="BI39" s="9">
        <v>26070</v>
      </c>
      <c r="BJ39" s="9">
        <v>26100</v>
      </c>
      <c r="BK39" s="9">
        <v>26110</v>
      </c>
      <c r="BL39" s="9">
        <v>26090</v>
      </c>
      <c r="BM39" s="9">
        <v>26050</v>
      </c>
      <c r="BN39" s="9">
        <v>26000</v>
      </c>
      <c r="BO39" s="9">
        <v>25950</v>
      </c>
    </row>
    <row r="40" spans="3:67" x14ac:dyDescent="0.2">
      <c r="C40" s="3">
        <v>37</v>
      </c>
      <c r="E40" s="9">
        <v>23850</v>
      </c>
      <c r="F40" s="9">
        <v>23710</v>
      </c>
      <c r="G40" s="9">
        <v>24410</v>
      </c>
      <c r="H40" s="9">
        <v>24040</v>
      </c>
      <c r="I40" s="9">
        <v>23060</v>
      </c>
      <c r="J40" s="9">
        <v>22160</v>
      </c>
      <c r="K40" s="9">
        <v>21230</v>
      </c>
      <c r="L40" s="9">
        <v>20250</v>
      </c>
      <c r="M40" s="9">
        <v>20610</v>
      </c>
      <c r="N40" s="9">
        <v>20570</v>
      </c>
      <c r="O40" s="9">
        <v>21300</v>
      </c>
      <c r="P40" s="9">
        <v>21280</v>
      </c>
      <c r="Q40" s="9">
        <v>21360</v>
      </c>
      <c r="R40" s="9">
        <v>21870</v>
      </c>
      <c r="S40" s="9">
        <v>22340</v>
      </c>
      <c r="T40" s="9">
        <v>22540</v>
      </c>
      <c r="U40" s="9">
        <v>22970</v>
      </c>
      <c r="V40" s="9">
        <v>23200</v>
      </c>
      <c r="W40" s="9">
        <v>23860</v>
      </c>
      <c r="X40" s="9">
        <v>25000</v>
      </c>
      <c r="Y40" s="9">
        <v>25510</v>
      </c>
      <c r="Z40" s="9">
        <v>26710</v>
      </c>
      <c r="AA40" s="9">
        <v>27480</v>
      </c>
      <c r="AB40" s="9">
        <v>26810</v>
      </c>
      <c r="AC40" s="9">
        <v>26790</v>
      </c>
      <c r="AD40" s="9">
        <v>26350</v>
      </c>
      <c r="AE40" s="9">
        <v>26370</v>
      </c>
      <c r="AF40" s="9">
        <v>25950</v>
      </c>
      <c r="AG40" s="9">
        <v>26020</v>
      </c>
      <c r="AH40" s="9">
        <v>25680</v>
      </c>
      <c r="AI40" s="9">
        <v>25000</v>
      </c>
      <c r="AJ40" s="9">
        <v>25650</v>
      </c>
      <c r="AK40" s="9">
        <v>25340</v>
      </c>
      <c r="AL40" s="9">
        <v>24490</v>
      </c>
      <c r="AM40" s="9">
        <v>24260</v>
      </c>
      <c r="AN40" s="9">
        <v>24650</v>
      </c>
      <c r="AO40" s="9">
        <v>24480</v>
      </c>
      <c r="AP40" s="9">
        <v>24970</v>
      </c>
      <c r="AQ40" s="9">
        <v>25840</v>
      </c>
      <c r="AR40" s="9">
        <v>26670</v>
      </c>
      <c r="AS40" s="9">
        <v>26320</v>
      </c>
      <c r="AT40" s="9">
        <v>26860</v>
      </c>
      <c r="AU40" s="9">
        <v>26350</v>
      </c>
      <c r="AV40" s="9">
        <v>25910</v>
      </c>
      <c r="AW40" s="9">
        <v>25460</v>
      </c>
      <c r="AX40" s="9">
        <v>24730</v>
      </c>
      <c r="AY40" s="9">
        <v>24530</v>
      </c>
      <c r="AZ40" s="9">
        <v>24810</v>
      </c>
      <c r="BA40" s="9">
        <v>25040</v>
      </c>
      <c r="BB40" s="9">
        <v>25240</v>
      </c>
      <c r="BC40" s="9">
        <v>25430</v>
      </c>
      <c r="BD40" s="9">
        <v>25620</v>
      </c>
      <c r="BE40" s="9">
        <v>25790</v>
      </c>
      <c r="BF40" s="9">
        <v>25930</v>
      </c>
      <c r="BG40" s="9">
        <v>26060</v>
      </c>
      <c r="BH40" s="9">
        <v>26160</v>
      </c>
      <c r="BI40" s="9">
        <v>26230</v>
      </c>
      <c r="BJ40" s="9">
        <v>26280</v>
      </c>
      <c r="BK40" s="9">
        <v>26310</v>
      </c>
      <c r="BL40" s="9">
        <v>26320</v>
      </c>
      <c r="BM40" s="9">
        <v>26300</v>
      </c>
      <c r="BN40" s="9">
        <v>26260</v>
      </c>
      <c r="BO40" s="9">
        <v>26210</v>
      </c>
    </row>
    <row r="41" spans="3:67" x14ac:dyDescent="0.2">
      <c r="C41" s="3">
        <v>38</v>
      </c>
      <c r="E41" s="9">
        <v>23850</v>
      </c>
      <c r="F41" s="9">
        <v>24240</v>
      </c>
      <c r="G41" s="9">
        <v>24020</v>
      </c>
      <c r="H41" s="9">
        <v>24770</v>
      </c>
      <c r="I41" s="9">
        <v>24380</v>
      </c>
      <c r="J41" s="9">
        <v>23300</v>
      </c>
      <c r="K41" s="9">
        <v>22370</v>
      </c>
      <c r="L41" s="9">
        <v>21440</v>
      </c>
      <c r="M41" s="9">
        <v>20960</v>
      </c>
      <c r="N41" s="9">
        <v>21090</v>
      </c>
      <c r="O41" s="9">
        <v>20950</v>
      </c>
      <c r="P41" s="9">
        <v>21590</v>
      </c>
      <c r="Q41" s="9">
        <v>21570</v>
      </c>
      <c r="R41" s="9">
        <v>21650</v>
      </c>
      <c r="S41" s="9">
        <v>22160</v>
      </c>
      <c r="T41" s="9">
        <v>22630</v>
      </c>
      <c r="U41" s="9">
        <v>22830</v>
      </c>
      <c r="V41" s="9">
        <v>23260</v>
      </c>
      <c r="W41" s="9">
        <v>23490</v>
      </c>
      <c r="X41" s="9">
        <v>24150</v>
      </c>
      <c r="Y41" s="9">
        <v>25300</v>
      </c>
      <c r="Z41" s="9">
        <v>25820</v>
      </c>
      <c r="AA41" s="9">
        <v>27020</v>
      </c>
      <c r="AB41" s="9">
        <v>27800</v>
      </c>
      <c r="AC41" s="9">
        <v>27120</v>
      </c>
      <c r="AD41" s="9">
        <v>27100</v>
      </c>
      <c r="AE41" s="9">
        <v>26650</v>
      </c>
      <c r="AF41" s="9">
        <v>26670</v>
      </c>
      <c r="AG41" s="9">
        <v>26250</v>
      </c>
      <c r="AH41" s="9">
        <v>26320</v>
      </c>
      <c r="AI41" s="9">
        <v>25980</v>
      </c>
      <c r="AJ41" s="9">
        <v>25290</v>
      </c>
      <c r="AK41" s="9">
        <v>25950</v>
      </c>
      <c r="AL41" s="9">
        <v>25640</v>
      </c>
      <c r="AM41" s="9">
        <v>24780</v>
      </c>
      <c r="AN41" s="9">
        <v>24540</v>
      </c>
      <c r="AO41" s="9">
        <v>24940</v>
      </c>
      <c r="AP41" s="9">
        <v>24770</v>
      </c>
      <c r="AQ41" s="9">
        <v>25260</v>
      </c>
      <c r="AR41" s="9">
        <v>26140</v>
      </c>
      <c r="AS41" s="9">
        <v>26970</v>
      </c>
      <c r="AT41" s="9">
        <v>26620</v>
      </c>
      <c r="AU41" s="9">
        <v>27160</v>
      </c>
      <c r="AV41" s="9">
        <v>26660</v>
      </c>
      <c r="AW41" s="9">
        <v>26220</v>
      </c>
      <c r="AX41" s="9">
        <v>25760</v>
      </c>
      <c r="AY41" s="9">
        <v>25020</v>
      </c>
      <c r="AZ41" s="9">
        <v>24820</v>
      </c>
      <c r="BA41" s="9">
        <v>25100</v>
      </c>
      <c r="BB41" s="9">
        <v>25330</v>
      </c>
      <c r="BC41" s="9">
        <v>25530</v>
      </c>
      <c r="BD41" s="9">
        <v>25730</v>
      </c>
      <c r="BE41" s="9">
        <v>25920</v>
      </c>
      <c r="BF41" s="9">
        <v>26090</v>
      </c>
      <c r="BG41" s="9">
        <v>26240</v>
      </c>
      <c r="BH41" s="9">
        <v>26360</v>
      </c>
      <c r="BI41" s="9">
        <v>26460</v>
      </c>
      <c r="BJ41" s="9">
        <v>26540</v>
      </c>
      <c r="BK41" s="9">
        <v>26590</v>
      </c>
      <c r="BL41" s="9">
        <v>26620</v>
      </c>
      <c r="BM41" s="9">
        <v>26620</v>
      </c>
      <c r="BN41" s="9">
        <v>26610</v>
      </c>
      <c r="BO41" s="9">
        <v>26570</v>
      </c>
    </row>
    <row r="42" spans="3:67" x14ac:dyDescent="0.2">
      <c r="C42" s="3">
        <v>39</v>
      </c>
      <c r="E42" s="9">
        <v>24140</v>
      </c>
      <c r="F42" s="9">
        <v>24370</v>
      </c>
      <c r="G42" s="9">
        <v>24720</v>
      </c>
      <c r="H42" s="9">
        <v>24500</v>
      </c>
      <c r="I42" s="9">
        <v>25270</v>
      </c>
      <c r="J42" s="9">
        <v>24790</v>
      </c>
      <c r="K42" s="9">
        <v>23650</v>
      </c>
      <c r="L42" s="9">
        <v>22710</v>
      </c>
      <c r="M42" s="9">
        <v>22450</v>
      </c>
      <c r="N42" s="9">
        <v>21550</v>
      </c>
      <c r="O42" s="9">
        <v>21600</v>
      </c>
      <c r="P42" s="9">
        <v>21360</v>
      </c>
      <c r="Q42" s="9">
        <v>22010</v>
      </c>
      <c r="R42" s="9">
        <v>21980</v>
      </c>
      <c r="S42" s="9">
        <v>22060</v>
      </c>
      <c r="T42" s="9">
        <v>22580</v>
      </c>
      <c r="U42" s="9">
        <v>23050</v>
      </c>
      <c r="V42" s="9">
        <v>23250</v>
      </c>
      <c r="W42" s="9">
        <v>23690</v>
      </c>
      <c r="X42" s="9">
        <v>23920</v>
      </c>
      <c r="Y42" s="9">
        <v>24590</v>
      </c>
      <c r="Z42" s="9">
        <v>25760</v>
      </c>
      <c r="AA42" s="9">
        <v>26280</v>
      </c>
      <c r="AB42" s="9">
        <v>27500</v>
      </c>
      <c r="AC42" s="9">
        <v>28290</v>
      </c>
      <c r="AD42" s="9">
        <v>27600</v>
      </c>
      <c r="AE42" s="9">
        <v>27580</v>
      </c>
      <c r="AF42" s="9">
        <v>27120</v>
      </c>
      <c r="AG42" s="9">
        <v>27140</v>
      </c>
      <c r="AH42" s="9">
        <v>26720</v>
      </c>
      <c r="AI42" s="9">
        <v>26780</v>
      </c>
      <c r="AJ42" s="9">
        <v>26440</v>
      </c>
      <c r="AK42" s="9">
        <v>25740</v>
      </c>
      <c r="AL42" s="9">
        <v>26410</v>
      </c>
      <c r="AM42" s="9">
        <v>26090</v>
      </c>
      <c r="AN42" s="9">
        <v>25220</v>
      </c>
      <c r="AO42" s="9">
        <v>24980</v>
      </c>
      <c r="AP42" s="9">
        <v>25380</v>
      </c>
      <c r="AQ42" s="9">
        <v>25210</v>
      </c>
      <c r="AR42" s="9">
        <v>25710</v>
      </c>
      <c r="AS42" s="9">
        <v>26610</v>
      </c>
      <c r="AT42" s="9">
        <v>27450</v>
      </c>
      <c r="AU42" s="9">
        <v>27090</v>
      </c>
      <c r="AV42" s="9">
        <v>27650</v>
      </c>
      <c r="AW42" s="9">
        <v>27130</v>
      </c>
      <c r="AX42" s="9">
        <v>26680</v>
      </c>
      <c r="AY42" s="9">
        <v>26220</v>
      </c>
      <c r="AZ42" s="9">
        <v>25470</v>
      </c>
      <c r="BA42" s="9">
        <v>25260</v>
      </c>
      <c r="BB42" s="9">
        <v>25550</v>
      </c>
      <c r="BC42" s="9">
        <v>25790</v>
      </c>
      <c r="BD42" s="9">
        <v>25990</v>
      </c>
      <c r="BE42" s="9">
        <v>26190</v>
      </c>
      <c r="BF42" s="9">
        <v>26380</v>
      </c>
      <c r="BG42" s="9">
        <v>26560</v>
      </c>
      <c r="BH42" s="9">
        <v>26710</v>
      </c>
      <c r="BI42" s="9">
        <v>26830</v>
      </c>
      <c r="BJ42" s="9">
        <v>26940</v>
      </c>
      <c r="BK42" s="9">
        <v>27010</v>
      </c>
      <c r="BL42" s="9">
        <v>27060</v>
      </c>
      <c r="BM42" s="9">
        <v>27090</v>
      </c>
      <c r="BN42" s="9">
        <v>27100</v>
      </c>
      <c r="BO42" s="9">
        <v>27080</v>
      </c>
    </row>
    <row r="43" spans="3:67" x14ac:dyDescent="0.2">
      <c r="C43" s="3">
        <v>40</v>
      </c>
      <c r="E43" s="9">
        <v>24650</v>
      </c>
      <c r="F43" s="9">
        <v>24840</v>
      </c>
      <c r="G43" s="9">
        <v>25050</v>
      </c>
      <c r="H43" s="9">
        <v>25400</v>
      </c>
      <c r="I43" s="9">
        <v>25180</v>
      </c>
      <c r="J43" s="9">
        <v>25880</v>
      </c>
      <c r="K43" s="9">
        <v>25350</v>
      </c>
      <c r="L43" s="9">
        <v>24200</v>
      </c>
      <c r="M43" s="9">
        <v>24050</v>
      </c>
      <c r="N43" s="9">
        <v>23220</v>
      </c>
      <c r="O43" s="9">
        <v>22210</v>
      </c>
      <c r="P43" s="9">
        <v>22170</v>
      </c>
      <c r="Q43" s="9">
        <v>21930</v>
      </c>
      <c r="R43" s="9">
        <v>22590</v>
      </c>
      <c r="S43" s="9">
        <v>22560</v>
      </c>
      <c r="T43" s="9">
        <v>22630</v>
      </c>
      <c r="U43" s="9">
        <v>23160</v>
      </c>
      <c r="V43" s="9">
        <v>23640</v>
      </c>
      <c r="W43" s="9">
        <v>23850</v>
      </c>
      <c r="X43" s="9">
        <v>24290</v>
      </c>
      <c r="Y43" s="9">
        <v>24530</v>
      </c>
      <c r="Z43" s="9">
        <v>25210</v>
      </c>
      <c r="AA43" s="9">
        <v>26410</v>
      </c>
      <c r="AB43" s="9">
        <v>26940</v>
      </c>
      <c r="AC43" s="9">
        <v>28190</v>
      </c>
      <c r="AD43" s="9">
        <v>28990</v>
      </c>
      <c r="AE43" s="9">
        <v>28280</v>
      </c>
      <c r="AF43" s="9">
        <v>28270</v>
      </c>
      <c r="AG43" s="9">
        <v>27800</v>
      </c>
      <c r="AH43" s="9">
        <v>27820</v>
      </c>
      <c r="AI43" s="9">
        <v>27380</v>
      </c>
      <c r="AJ43" s="9">
        <v>27440</v>
      </c>
      <c r="AK43" s="9">
        <v>27100</v>
      </c>
      <c r="AL43" s="9">
        <v>26380</v>
      </c>
      <c r="AM43" s="9">
        <v>27070</v>
      </c>
      <c r="AN43" s="9">
        <v>26740</v>
      </c>
      <c r="AO43" s="9">
        <v>25850</v>
      </c>
      <c r="AP43" s="9">
        <v>25610</v>
      </c>
      <c r="AQ43" s="9">
        <v>26010</v>
      </c>
      <c r="AR43" s="9">
        <v>25840</v>
      </c>
      <c r="AS43" s="9">
        <v>26350</v>
      </c>
      <c r="AT43" s="9">
        <v>27270</v>
      </c>
      <c r="AU43" s="9">
        <v>28130</v>
      </c>
      <c r="AV43" s="9">
        <v>27770</v>
      </c>
      <c r="AW43" s="9">
        <v>28330</v>
      </c>
      <c r="AX43" s="9">
        <v>27810</v>
      </c>
      <c r="AY43" s="9">
        <v>27350</v>
      </c>
      <c r="AZ43" s="9">
        <v>26870</v>
      </c>
      <c r="BA43" s="9">
        <v>26100</v>
      </c>
      <c r="BB43" s="9">
        <v>25890</v>
      </c>
      <c r="BC43" s="9">
        <v>26190</v>
      </c>
      <c r="BD43" s="9">
        <v>26430</v>
      </c>
      <c r="BE43" s="9">
        <v>26640</v>
      </c>
      <c r="BF43" s="9">
        <v>26850</v>
      </c>
      <c r="BG43" s="9">
        <v>27040</v>
      </c>
      <c r="BH43" s="9">
        <v>27220</v>
      </c>
      <c r="BI43" s="9">
        <v>27370</v>
      </c>
      <c r="BJ43" s="9">
        <v>27500</v>
      </c>
      <c r="BK43" s="9">
        <v>27610</v>
      </c>
      <c r="BL43" s="9">
        <v>27690</v>
      </c>
      <c r="BM43" s="9">
        <v>27740</v>
      </c>
      <c r="BN43" s="9">
        <v>27770</v>
      </c>
      <c r="BO43" s="9">
        <v>27780</v>
      </c>
    </row>
    <row r="44" spans="3:67" x14ac:dyDescent="0.2">
      <c r="C44" s="3">
        <v>41</v>
      </c>
      <c r="E44" s="9">
        <v>25700</v>
      </c>
      <c r="F44" s="9">
        <v>25440</v>
      </c>
      <c r="G44" s="9">
        <v>25570</v>
      </c>
      <c r="H44" s="9">
        <v>25770</v>
      </c>
      <c r="I44" s="9">
        <v>26130</v>
      </c>
      <c r="J44" s="9">
        <v>25860</v>
      </c>
      <c r="K44" s="9">
        <v>26540</v>
      </c>
      <c r="L44" s="9">
        <v>26020</v>
      </c>
      <c r="M44" s="9">
        <v>25720</v>
      </c>
      <c r="N44" s="9">
        <v>24950</v>
      </c>
      <c r="O44" s="9">
        <v>24010</v>
      </c>
      <c r="P44" s="9">
        <v>22890</v>
      </c>
      <c r="Q44" s="9">
        <v>22850</v>
      </c>
      <c r="R44" s="9">
        <v>22600</v>
      </c>
      <c r="S44" s="9">
        <v>23280</v>
      </c>
      <c r="T44" s="9">
        <v>23240</v>
      </c>
      <c r="U44" s="9">
        <v>23320</v>
      </c>
      <c r="V44" s="9">
        <v>23870</v>
      </c>
      <c r="W44" s="9">
        <v>24360</v>
      </c>
      <c r="X44" s="9">
        <v>24570</v>
      </c>
      <c r="Y44" s="9">
        <v>25030</v>
      </c>
      <c r="Z44" s="9">
        <v>25270</v>
      </c>
      <c r="AA44" s="9">
        <v>25980</v>
      </c>
      <c r="AB44" s="9">
        <v>27210</v>
      </c>
      <c r="AC44" s="9">
        <v>27760</v>
      </c>
      <c r="AD44" s="9">
        <v>29040</v>
      </c>
      <c r="AE44" s="9">
        <v>29870</v>
      </c>
      <c r="AF44" s="9">
        <v>29140</v>
      </c>
      <c r="AG44" s="9">
        <v>29120</v>
      </c>
      <c r="AH44" s="9">
        <v>28640</v>
      </c>
      <c r="AI44" s="9">
        <v>28660</v>
      </c>
      <c r="AJ44" s="9">
        <v>28210</v>
      </c>
      <c r="AK44" s="9">
        <v>28280</v>
      </c>
      <c r="AL44" s="9">
        <v>27920</v>
      </c>
      <c r="AM44" s="9">
        <v>27180</v>
      </c>
      <c r="AN44" s="9">
        <v>27890</v>
      </c>
      <c r="AO44" s="9">
        <v>27550</v>
      </c>
      <c r="AP44" s="9">
        <v>26640</v>
      </c>
      <c r="AQ44" s="9">
        <v>26390</v>
      </c>
      <c r="AR44" s="9">
        <v>26810</v>
      </c>
      <c r="AS44" s="9">
        <v>26630</v>
      </c>
      <c r="AT44" s="9">
        <v>27160</v>
      </c>
      <c r="AU44" s="9">
        <v>28100</v>
      </c>
      <c r="AV44" s="9">
        <v>28990</v>
      </c>
      <c r="AW44" s="9">
        <v>28610</v>
      </c>
      <c r="AX44" s="9">
        <v>29200</v>
      </c>
      <c r="AY44" s="9">
        <v>28650</v>
      </c>
      <c r="AZ44" s="9">
        <v>28180</v>
      </c>
      <c r="BA44" s="9">
        <v>27690</v>
      </c>
      <c r="BB44" s="9">
        <v>26900</v>
      </c>
      <c r="BC44" s="9">
        <v>26690</v>
      </c>
      <c r="BD44" s="9">
        <v>26990</v>
      </c>
      <c r="BE44" s="9">
        <v>27240</v>
      </c>
      <c r="BF44" s="9">
        <v>27460</v>
      </c>
      <c r="BG44" s="9">
        <v>27670</v>
      </c>
      <c r="BH44" s="9">
        <v>27870</v>
      </c>
      <c r="BI44" s="9">
        <v>28050</v>
      </c>
      <c r="BJ44" s="9">
        <v>28210</v>
      </c>
      <c r="BK44" s="9">
        <v>28340</v>
      </c>
      <c r="BL44" s="9">
        <v>28450</v>
      </c>
      <c r="BM44" s="9">
        <v>28530</v>
      </c>
      <c r="BN44" s="9">
        <v>28590</v>
      </c>
      <c r="BO44" s="9">
        <v>28620</v>
      </c>
    </row>
    <row r="45" spans="3:67" x14ac:dyDescent="0.2">
      <c r="C45" s="3">
        <v>42</v>
      </c>
      <c r="E45" s="9">
        <v>27140</v>
      </c>
      <c r="F45" s="9">
        <v>26320</v>
      </c>
      <c r="G45" s="9">
        <v>25990</v>
      </c>
      <c r="H45" s="9">
        <v>26080</v>
      </c>
      <c r="I45" s="9">
        <v>26320</v>
      </c>
      <c r="J45" s="9">
        <v>26630</v>
      </c>
      <c r="K45" s="9">
        <v>26320</v>
      </c>
      <c r="L45" s="9">
        <v>27030</v>
      </c>
      <c r="M45" s="9">
        <v>27240</v>
      </c>
      <c r="N45" s="9">
        <v>26460</v>
      </c>
      <c r="O45" s="9">
        <v>25580</v>
      </c>
      <c r="P45" s="9">
        <v>24540</v>
      </c>
      <c r="Q45" s="9">
        <v>23400</v>
      </c>
      <c r="R45" s="9">
        <v>23350</v>
      </c>
      <c r="S45" s="9">
        <v>23100</v>
      </c>
      <c r="T45" s="9">
        <v>23790</v>
      </c>
      <c r="U45" s="9">
        <v>23760</v>
      </c>
      <c r="V45" s="9">
        <v>23840</v>
      </c>
      <c r="W45" s="9">
        <v>24400</v>
      </c>
      <c r="X45" s="9">
        <v>24900</v>
      </c>
      <c r="Y45" s="9">
        <v>25120</v>
      </c>
      <c r="Z45" s="9">
        <v>25590</v>
      </c>
      <c r="AA45" s="9">
        <v>25830</v>
      </c>
      <c r="AB45" s="9">
        <v>26550</v>
      </c>
      <c r="AC45" s="9">
        <v>27810</v>
      </c>
      <c r="AD45" s="9">
        <v>28370</v>
      </c>
      <c r="AE45" s="9">
        <v>29680</v>
      </c>
      <c r="AF45" s="9">
        <v>30530</v>
      </c>
      <c r="AG45" s="9">
        <v>29780</v>
      </c>
      <c r="AH45" s="9">
        <v>29770</v>
      </c>
      <c r="AI45" s="9">
        <v>29270</v>
      </c>
      <c r="AJ45" s="9">
        <v>29290</v>
      </c>
      <c r="AK45" s="9">
        <v>28840</v>
      </c>
      <c r="AL45" s="9">
        <v>28900</v>
      </c>
      <c r="AM45" s="9">
        <v>28540</v>
      </c>
      <c r="AN45" s="9">
        <v>27780</v>
      </c>
      <c r="AO45" s="9">
        <v>28510</v>
      </c>
      <c r="AP45" s="9">
        <v>28170</v>
      </c>
      <c r="AQ45" s="9">
        <v>27230</v>
      </c>
      <c r="AR45" s="9">
        <v>26980</v>
      </c>
      <c r="AS45" s="9">
        <v>27410</v>
      </c>
      <c r="AT45" s="9">
        <v>27220</v>
      </c>
      <c r="AU45" s="9">
        <v>27760</v>
      </c>
      <c r="AV45" s="9">
        <v>28730</v>
      </c>
      <c r="AW45" s="9">
        <v>29630</v>
      </c>
      <c r="AX45" s="9">
        <v>29250</v>
      </c>
      <c r="AY45" s="9">
        <v>29850</v>
      </c>
      <c r="AZ45" s="9">
        <v>29290</v>
      </c>
      <c r="BA45" s="9">
        <v>28810</v>
      </c>
      <c r="BB45" s="9">
        <v>28310</v>
      </c>
      <c r="BC45" s="9">
        <v>27510</v>
      </c>
      <c r="BD45" s="9">
        <v>27280</v>
      </c>
      <c r="BE45" s="9">
        <v>27590</v>
      </c>
      <c r="BF45" s="9">
        <v>27850</v>
      </c>
      <c r="BG45" s="9">
        <v>28070</v>
      </c>
      <c r="BH45" s="9">
        <v>28290</v>
      </c>
      <c r="BI45" s="9">
        <v>28500</v>
      </c>
      <c r="BJ45" s="9">
        <v>28680</v>
      </c>
      <c r="BK45" s="9">
        <v>28840</v>
      </c>
      <c r="BL45" s="9">
        <v>28980</v>
      </c>
      <c r="BM45" s="9">
        <v>29090</v>
      </c>
      <c r="BN45" s="9">
        <v>29170</v>
      </c>
      <c r="BO45" s="9">
        <v>29230</v>
      </c>
    </row>
    <row r="46" spans="3:67" x14ac:dyDescent="0.2">
      <c r="C46" s="3">
        <v>43</v>
      </c>
      <c r="E46" s="9">
        <v>28150</v>
      </c>
      <c r="F46" s="9">
        <v>27420</v>
      </c>
      <c r="G46" s="9">
        <v>26510</v>
      </c>
      <c r="H46" s="9">
        <v>26200</v>
      </c>
      <c r="I46" s="9">
        <v>26330</v>
      </c>
      <c r="J46" s="9">
        <v>26460</v>
      </c>
      <c r="K46" s="9">
        <v>26770</v>
      </c>
      <c r="L46" s="9">
        <v>26460</v>
      </c>
      <c r="M46" s="9">
        <v>28060</v>
      </c>
      <c r="N46" s="9">
        <v>27660</v>
      </c>
      <c r="O46" s="9">
        <v>26780</v>
      </c>
      <c r="P46" s="9">
        <v>25810</v>
      </c>
      <c r="Q46" s="9">
        <v>24760</v>
      </c>
      <c r="R46" s="9">
        <v>23610</v>
      </c>
      <c r="S46" s="9">
        <v>23560</v>
      </c>
      <c r="T46" s="9">
        <v>23310</v>
      </c>
      <c r="U46" s="9">
        <v>24010</v>
      </c>
      <c r="V46" s="9">
        <v>23980</v>
      </c>
      <c r="W46" s="9">
        <v>24060</v>
      </c>
      <c r="X46" s="9">
        <v>24620</v>
      </c>
      <c r="Y46" s="9">
        <v>25130</v>
      </c>
      <c r="Z46" s="9">
        <v>25350</v>
      </c>
      <c r="AA46" s="9">
        <v>25820</v>
      </c>
      <c r="AB46" s="9">
        <v>26070</v>
      </c>
      <c r="AC46" s="9">
        <v>26800</v>
      </c>
      <c r="AD46" s="9">
        <v>28070</v>
      </c>
      <c r="AE46" s="9">
        <v>28630</v>
      </c>
      <c r="AF46" s="9">
        <v>29950</v>
      </c>
      <c r="AG46" s="9">
        <v>30810</v>
      </c>
      <c r="AH46" s="9">
        <v>30060</v>
      </c>
      <c r="AI46" s="9">
        <v>30040</v>
      </c>
      <c r="AJ46" s="9">
        <v>29540</v>
      </c>
      <c r="AK46" s="9">
        <v>29570</v>
      </c>
      <c r="AL46" s="9">
        <v>29110</v>
      </c>
      <c r="AM46" s="9">
        <v>29170</v>
      </c>
      <c r="AN46" s="9">
        <v>28800</v>
      </c>
      <c r="AO46" s="9">
        <v>28040</v>
      </c>
      <c r="AP46" s="9">
        <v>28780</v>
      </c>
      <c r="AQ46" s="9">
        <v>28430</v>
      </c>
      <c r="AR46" s="9">
        <v>27490</v>
      </c>
      <c r="AS46" s="9">
        <v>27230</v>
      </c>
      <c r="AT46" s="9">
        <v>27660</v>
      </c>
      <c r="AU46" s="9">
        <v>27480</v>
      </c>
      <c r="AV46" s="9">
        <v>28020</v>
      </c>
      <c r="AW46" s="9">
        <v>29000</v>
      </c>
      <c r="AX46" s="9">
        <v>29910</v>
      </c>
      <c r="AY46" s="9">
        <v>29530</v>
      </c>
      <c r="AZ46" s="9">
        <v>30130</v>
      </c>
      <c r="BA46" s="9">
        <v>29570</v>
      </c>
      <c r="BB46" s="9">
        <v>29080</v>
      </c>
      <c r="BC46" s="9">
        <v>28580</v>
      </c>
      <c r="BD46" s="9">
        <v>27770</v>
      </c>
      <c r="BE46" s="9">
        <v>27540</v>
      </c>
      <c r="BF46" s="9">
        <v>27850</v>
      </c>
      <c r="BG46" s="9">
        <v>28120</v>
      </c>
      <c r="BH46" s="9">
        <v>28340</v>
      </c>
      <c r="BI46" s="9">
        <v>28560</v>
      </c>
      <c r="BJ46" s="9">
        <v>28770</v>
      </c>
      <c r="BK46" s="9">
        <v>28960</v>
      </c>
      <c r="BL46" s="9">
        <v>29120</v>
      </c>
      <c r="BM46" s="9">
        <v>29260</v>
      </c>
      <c r="BN46" s="9">
        <v>29370</v>
      </c>
      <c r="BO46" s="9">
        <v>29450</v>
      </c>
    </row>
    <row r="47" spans="3:67" x14ac:dyDescent="0.2">
      <c r="C47" s="3">
        <v>44</v>
      </c>
      <c r="E47" s="9">
        <v>27940</v>
      </c>
      <c r="F47" s="9">
        <v>28160</v>
      </c>
      <c r="G47" s="9">
        <v>27340</v>
      </c>
      <c r="H47" s="9">
        <v>26470</v>
      </c>
      <c r="I47" s="9">
        <v>26190</v>
      </c>
      <c r="J47" s="9">
        <v>26230</v>
      </c>
      <c r="K47" s="9">
        <v>26340</v>
      </c>
      <c r="L47" s="9">
        <v>26660</v>
      </c>
      <c r="M47" s="9">
        <v>27130</v>
      </c>
      <c r="N47" s="9">
        <v>28190</v>
      </c>
      <c r="O47" s="9">
        <v>27710</v>
      </c>
      <c r="P47" s="9">
        <v>26760</v>
      </c>
      <c r="Q47" s="9">
        <v>25790</v>
      </c>
      <c r="R47" s="9">
        <v>24740</v>
      </c>
      <c r="S47" s="9">
        <v>23590</v>
      </c>
      <c r="T47" s="9">
        <v>23550</v>
      </c>
      <c r="U47" s="9">
        <v>23290</v>
      </c>
      <c r="V47" s="9">
        <v>23990</v>
      </c>
      <c r="W47" s="9">
        <v>23960</v>
      </c>
      <c r="X47" s="9">
        <v>24040</v>
      </c>
      <c r="Y47" s="9">
        <v>24610</v>
      </c>
      <c r="Z47" s="9">
        <v>25120</v>
      </c>
      <c r="AA47" s="9">
        <v>25330</v>
      </c>
      <c r="AB47" s="9">
        <v>25810</v>
      </c>
      <c r="AC47" s="9">
        <v>26060</v>
      </c>
      <c r="AD47" s="9">
        <v>26790</v>
      </c>
      <c r="AE47" s="9">
        <v>28060</v>
      </c>
      <c r="AF47" s="9">
        <v>28620</v>
      </c>
      <c r="AG47" s="9">
        <v>29950</v>
      </c>
      <c r="AH47" s="9">
        <v>30800</v>
      </c>
      <c r="AI47" s="9">
        <v>30050</v>
      </c>
      <c r="AJ47" s="9">
        <v>30030</v>
      </c>
      <c r="AK47" s="9">
        <v>29540</v>
      </c>
      <c r="AL47" s="9">
        <v>29560</v>
      </c>
      <c r="AM47" s="9">
        <v>29100</v>
      </c>
      <c r="AN47" s="9">
        <v>29170</v>
      </c>
      <c r="AO47" s="9">
        <v>28800</v>
      </c>
      <c r="AP47" s="9">
        <v>28040</v>
      </c>
      <c r="AQ47" s="9">
        <v>28770</v>
      </c>
      <c r="AR47" s="9">
        <v>28430</v>
      </c>
      <c r="AS47" s="9">
        <v>27480</v>
      </c>
      <c r="AT47" s="9">
        <v>27230</v>
      </c>
      <c r="AU47" s="9">
        <v>27660</v>
      </c>
      <c r="AV47" s="9">
        <v>27470</v>
      </c>
      <c r="AW47" s="9">
        <v>28020</v>
      </c>
      <c r="AX47" s="9">
        <v>29000</v>
      </c>
      <c r="AY47" s="9">
        <v>29910</v>
      </c>
      <c r="AZ47" s="9">
        <v>29530</v>
      </c>
      <c r="BA47" s="9">
        <v>30130</v>
      </c>
      <c r="BB47" s="9">
        <v>29570</v>
      </c>
      <c r="BC47" s="9">
        <v>29080</v>
      </c>
      <c r="BD47" s="9">
        <v>28580</v>
      </c>
      <c r="BE47" s="9">
        <v>27770</v>
      </c>
      <c r="BF47" s="9">
        <v>27540</v>
      </c>
      <c r="BG47" s="9">
        <v>27850</v>
      </c>
      <c r="BH47" s="9">
        <v>28120</v>
      </c>
      <c r="BI47" s="9">
        <v>28340</v>
      </c>
      <c r="BJ47" s="9">
        <v>28560</v>
      </c>
      <c r="BK47" s="9">
        <v>28770</v>
      </c>
      <c r="BL47" s="9">
        <v>28960</v>
      </c>
      <c r="BM47" s="9">
        <v>29120</v>
      </c>
      <c r="BN47" s="9">
        <v>29260</v>
      </c>
      <c r="BO47" s="9">
        <v>29370</v>
      </c>
    </row>
    <row r="48" spans="3:67" x14ac:dyDescent="0.2">
      <c r="C48" s="3">
        <v>45</v>
      </c>
      <c r="E48" s="9">
        <v>27400</v>
      </c>
      <c r="F48" s="9">
        <v>27920</v>
      </c>
      <c r="G48" s="9">
        <v>28050</v>
      </c>
      <c r="H48" s="9">
        <v>27270</v>
      </c>
      <c r="I48" s="9">
        <v>26440</v>
      </c>
      <c r="J48" s="9">
        <v>26140</v>
      </c>
      <c r="K48" s="9">
        <v>26130</v>
      </c>
      <c r="L48" s="9">
        <v>26260</v>
      </c>
      <c r="M48" s="9">
        <v>27190</v>
      </c>
      <c r="N48" s="9">
        <v>27280</v>
      </c>
      <c r="O48" s="9">
        <v>28270</v>
      </c>
      <c r="P48" s="9">
        <v>27710</v>
      </c>
      <c r="Q48" s="9">
        <v>26770</v>
      </c>
      <c r="R48" s="9">
        <v>25800</v>
      </c>
      <c r="S48" s="9">
        <v>24760</v>
      </c>
      <c r="T48" s="9">
        <v>23600</v>
      </c>
      <c r="U48" s="9">
        <v>23560</v>
      </c>
      <c r="V48" s="9">
        <v>23310</v>
      </c>
      <c r="W48" s="9">
        <v>24020</v>
      </c>
      <c r="X48" s="9">
        <v>23990</v>
      </c>
      <c r="Y48" s="9">
        <v>24070</v>
      </c>
      <c r="Z48" s="9">
        <v>24640</v>
      </c>
      <c r="AA48" s="9">
        <v>25150</v>
      </c>
      <c r="AB48" s="9">
        <v>25370</v>
      </c>
      <c r="AC48" s="9">
        <v>25850</v>
      </c>
      <c r="AD48" s="9">
        <v>26100</v>
      </c>
      <c r="AE48" s="9">
        <v>26830</v>
      </c>
      <c r="AF48" s="9">
        <v>28110</v>
      </c>
      <c r="AG48" s="9">
        <v>28680</v>
      </c>
      <c r="AH48" s="9">
        <v>30000</v>
      </c>
      <c r="AI48" s="9">
        <v>30860</v>
      </c>
      <c r="AJ48" s="9">
        <v>30110</v>
      </c>
      <c r="AK48" s="9">
        <v>30090</v>
      </c>
      <c r="AL48" s="9">
        <v>29590</v>
      </c>
      <c r="AM48" s="9">
        <v>29620</v>
      </c>
      <c r="AN48" s="9">
        <v>29160</v>
      </c>
      <c r="AO48" s="9">
        <v>29230</v>
      </c>
      <c r="AP48" s="9">
        <v>28860</v>
      </c>
      <c r="AQ48" s="9">
        <v>28100</v>
      </c>
      <c r="AR48" s="9">
        <v>28830</v>
      </c>
      <c r="AS48" s="9">
        <v>28480</v>
      </c>
      <c r="AT48" s="9">
        <v>27540</v>
      </c>
      <c r="AU48" s="9">
        <v>27280</v>
      </c>
      <c r="AV48" s="9">
        <v>27720</v>
      </c>
      <c r="AW48" s="9">
        <v>27530</v>
      </c>
      <c r="AX48" s="9">
        <v>28080</v>
      </c>
      <c r="AY48" s="9">
        <v>29060</v>
      </c>
      <c r="AZ48" s="9">
        <v>29980</v>
      </c>
      <c r="BA48" s="9">
        <v>29590</v>
      </c>
      <c r="BB48" s="9">
        <v>30190</v>
      </c>
      <c r="BC48" s="9">
        <v>29630</v>
      </c>
      <c r="BD48" s="9">
        <v>29150</v>
      </c>
      <c r="BE48" s="9">
        <v>28640</v>
      </c>
      <c r="BF48" s="9">
        <v>27830</v>
      </c>
      <c r="BG48" s="9">
        <v>27600</v>
      </c>
      <c r="BH48" s="9">
        <v>27920</v>
      </c>
      <c r="BI48" s="9">
        <v>28180</v>
      </c>
      <c r="BJ48" s="9">
        <v>28400</v>
      </c>
      <c r="BK48" s="9">
        <v>28620</v>
      </c>
      <c r="BL48" s="9">
        <v>28840</v>
      </c>
      <c r="BM48" s="9">
        <v>29020</v>
      </c>
      <c r="BN48" s="9">
        <v>29190</v>
      </c>
      <c r="BO48" s="9">
        <v>29330</v>
      </c>
    </row>
    <row r="49" spans="3:67" x14ac:dyDescent="0.2">
      <c r="C49" s="3">
        <v>46</v>
      </c>
      <c r="E49" s="9">
        <v>26100</v>
      </c>
      <c r="F49" s="9">
        <v>27390</v>
      </c>
      <c r="G49" s="9">
        <v>27860</v>
      </c>
      <c r="H49" s="9">
        <v>27960</v>
      </c>
      <c r="I49" s="9">
        <v>27210</v>
      </c>
      <c r="J49" s="9">
        <v>26350</v>
      </c>
      <c r="K49" s="9">
        <v>26020</v>
      </c>
      <c r="L49" s="9">
        <v>26030</v>
      </c>
      <c r="M49" s="9">
        <v>26770</v>
      </c>
      <c r="N49" s="9">
        <v>27310</v>
      </c>
      <c r="O49" s="9">
        <v>27320</v>
      </c>
      <c r="P49" s="9">
        <v>28250</v>
      </c>
      <c r="Q49" s="9">
        <v>27690</v>
      </c>
      <c r="R49" s="9">
        <v>26750</v>
      </c>
      <c r="S49" s="9">
        <v>25780</v>
      </c>
      <c r="T49" s="9">
        <v>24740</v>
      </c>
      <c r="U49" s="9">
        <v>23590</v>
      </c>
      <c r="V49" s="9">
        <v>23550</v>
      </c>
      <c r="W49" s="9">
        <v>23300</v>
      </c>
      <c r="X49" s="9">
        <v>24010</v>
      </c>
      <c r="Y49" s="9">
        <v>23980</v>
      </c>
      <c r="Z49" s="9">
        <v>24070</v>
      </c>
      <c r="AA49" s="9">
        <v>24640</v>
      </c>
      <c r="AB49" s="9">
        <v>25150</v>
      </c>
      <c r="AC49" s="9">
        <v>25370</v>
      </c>
      <c r="AD49" s="9">
        <v>25850</v>
      </c>
      <c r="AE49" s="9">
        <v>26110</v>
      </c>
      <c r="AF49" s="9">
        <v>26840</v>
      </c>
      <c r="AG49" s="9">
        <v>28120</v>
      </c>
      <c r="AH49" s="9">
        <v>28690</v>
      </c>
      <c r="AI49" s="9">
        <v>30020</v>
      </c>
      <c r="AJ49" s="9">
        <v>30880</v>
      </c>
      <c r="AK49" s="9">
        <v>30120</v>
      </c>
      <c r="AL49" s="9">
        <v>30110</v>
      </c>
      <c r="AM49" s="9">
        <v>29610</v>
      </c>
      <c r="AN49" s="9">
        <v>29630</v>
      </c>
      <c r="AO49" s="9">
        <v>29170</v>
      </c>
      <c r="AP49" s="9">
        <v>29240</v>
      </c>
      <c r="AQ49" s="9">
        <v>28870</v>
      </c>
      <c r="AR49" s="9">
        <v>28110</v>
      </c>
      <c r="AS49" s="9">
        <v>28850</v>
      </c>
      <c r="AT49" s="9">
        <v>28500</v>
      </c>
      <c r="AU49" s="9">
        <v>27550</v>
      </c>
      <c r="AV49" s="9">
        <v>27300</v>
      </c>
      <c r="AW49" s="9">
        <v>27730</v>
      </c>
      <c r="AX49" s="9">
        <v>27550</v>
      </c>
      <c r="AY49" s="9">
        <v>28100</v>
      </c>
      <c r="AZ49" s="9">
        <v>29080</v>
      </c>
      <c r="BA49" s="9">
        <v>30000</v>
      </c>
      <c r="BB49" s="9">
        <v>29610</v>
      </c>
      <c r="BC49" s="9">
        <v>30220</v>
      </c>
      <c r="BD49" s="9">
        <v>29660</v>
      </c>
      <c r="BE49" s="9">
        <v>29170</v>
      </c>
      <c r="BF49" s="9">
        <v>28660</v>
      </c>
      <c r="BG49" s="9">
        <v>27850</v>
      </c>
      <c r="BH49" s="9">
        <v>27620</v>
      </c>
      <c r="BI49" s="9">
        <v>27940</v>
      </c>
      <c r="BJ49" s="9">
        <v>28200</v>
      </c>
      <c r="BK49" s="9">
        <v>28430</v>
      </c>
      <c r="BL49" s="9">
        <v>28650</v>
      </c>
      <c r="BM49" s="9">
        <v>28860</v>
      </c>
      <c r="BN49" s="9">
        <v>29050</v>
      </c>
      <c r="BO49" s="9">
        <v>29210</v>
      </c>
    </row>
    <row r="50" spans="3:67" x14ac:dyDescent="0.2">
      <c r="C50" s="3">
        <v>47</v>
      </c>
      <c r="E50" s="9">
        <v>25650</v>
      </c>
      <c r="F50" s="9">
        <v>26060</v>
      </c>
      <c r="G50" s="9">
        <v>27300</v>
      </c>
      <c r="H50" s="9">
        <v>27780</v>
      </c>
      <c r="I50" s="9">
        <v>27920</v>
      </c>
      <c r="J50" s="9">
        <v>27140</v>
      </c>
      <c r="K50" s="9">
        <v>26230</v>
      </c>
      <c r="L50" s="9">
        <v>25910</v>
      </c>
      <c r="M50" s="9">
        <v>26540</v>
      </c>
      <c r="N50" s="9">
        <v>26860</v>
      </c>
      <c r="O50" s="9">
        <v>27330</v>
      </c>
      <c r="P50" s="9">
        <v>27280</v>
      </c>
      <c r="Q50" s="9">
        <v>28210</v>
      </c>
      <c r="R50" s="9">
        <v>27660</v>
      </c>
      <c r="S50" s="9">
        <v>26710</v>
      </c>
      <c r="T50" s="9">
        <v>25750</v>
      </c>
      <c r="U50" s="9">
        <v>24710</v>
      </c>
      <c r="V50" s="9">
        <v>23560</v>
      </c>
      <c r="W50" s="9">
        <v>23530</v>
      </c>
      <c r="X50" s="9">
        <v>23280</v>
      </c>
      <c r="Y50" s="9">
        <v>23990</v>
      </c>
      <c r="Z50" s="9">
        <v>23960</v>
      </c>
      <c r="AA50" s="9">
        <v>24050</v>
      </c>
      <c r="AB50" s="9">
        <v>24620</v>
      </c>
      <c r="AC50" s="9">
        <v>25140</v>
      </c>
      <c r="AD50" s="9">
        <v>25360</v>
      </c>
      <c r="AE50" s="9">
        <v>25840</v>
      </c>
      <c r="AF50" s="9">
        <v>26100</v>
      </c>
      <c r="AG50" s="9">
        <v>26830</v>
      </c>
      <c r="AH50" s="9">
        <v>28110</v>
      </c>
      <c r="AI50" s="9">
        <v>28680</v>
      </c>
      <c r="AJ50" s="9">
        <v>30010</v>
      </c>
      <c r="AK50" s="9">
        <v>30880</v>
      </c>
      <c r="AL50" s="9">
        <v>30120</v>
      </c>
      <c r="AM50" s="9">
        <v>30110</v>
      </c>
      <c r="AN50" s="9">
        <v>29610</v>
      </c>
      <c r="AO50" s="9">
        <v>29630</v>
      </c>
      <c r="AP50" s="9">
        <v>29170</v>
      </c>
      <c r="AQ50" s="9">
        <v>29240</v>
      </c>
      <c r="AR50" s="9">
        <v>28870</v>
      </c>
      <c r="AS50" s="9">
        <v>28110</v>
      </c>
      <c r="AT50" s="9">
        <v>28850</v>
      </c>
      <c r="AU50" s="9">
        <v>28500</v>
      </c>
      <c r="AV50" s="9">
        <v>27560</v>
      </c>
      <c r="AW50" s="9">
        <v>27300</v>
      </c>
      <c r="AX50" s="9">
        <v>27740</v>
      </c>
      <c r="AY50" s="9">
        <v>27550</v>
      </c>
      <c r="AZ50" s="9">
        <v>28100</v>
      </c>
      <c r="BA50" s="9">
        <v>29080</v>
      </c>
      <c r="BB50" s="9">
        <v>30010</v>
      </c>
      <c r="BC50" s="9">
        <v>29620</v>
      </c>
      <c r="BD50" s="9">
        <v>30220</v>
      </c>
      <c r="BE50" s="9">
        <v>29660</v>
      </c>
      <c r="BF50" s="9">
        <v>29180</v>
      </c>
      <c r="BG50" s="9">
        <v>28670</v>
      </c>
      <c r="BH50" s="9">
        <v>27850</v>
      </c>
      <c r="BI50" s="9">
        <v>27630</v>
      </c>
      <c r="BJ50" s="9">
        <v>27940</v>
      </c>
      <c r="BK50" s="9">
        <v>28210</v>
      </c>
      <c r="BL50" s="9">
        <v>28430</v>
      </c>
      <c r="BM50" s="9">
        <v>28650</v>
      </c>
      <c r="BN50" s="9">
        <v>28870</v>
      </c>
      <c r="BO50" s="9">
        <v>29060</v>
      </c>
    </row>
    <row r="51" spans="3:67" x14ac:dyDescent="0.2">
      <c r="C51" s="3">
        <v>48</v>
      </c>
      <c r="E51" s="9">
        <v>24500</v>
      </c>
      <c r="F51" s="9">
        <v>25580</v>
      </c>
      <c r="G51" s="9">
        <v>25950</v>
      </c>
      <c r="H51" s="9">
        <v>27220</v>
      </c>
      <c r="I51" s="9">
        <v>27720</v>
      </c>
      <c r="J51" s="9">
        <v>27830</v>
      </c>
      <c r="K51" s="9">
        <v>27010</v>
      </c>
      <c r="L51" s="9">
        <v>26120</v>
      </c>
      <c r="M51" s="9">
        <v>26080</v>
      </c>
      <c r="N51" s="9">
        <v>26610</v>
      </c>
      <c r="O51" s="9">
        <v>26870</v>
      </c>
      <c r="P51" s="9">
        <v>27280</v>
      </c>
      <c r="Q51" s="9">
        <v>27240</v>
      </c>
      <c r="R51" s="9">
        <v>28170</v>
      </c>
      <c r="S51" s="9">
        <v>27620</v>
      </c>
      <c r="T51" s="9">
        <v>26680</v>
      </c>
      <c r="U51" s="9">
        <v>25720</v>
      </c>
      <c r="V51" s="9">
        <v>24680</v>
      </c>
      <c r="W51" s="9">
        <v>23530</v>
      </c>
      <c r="X51" s="9">
        <v>23500</v>
      </c>
      <c r="Y51" s="9">
        <v>23250</v>
      </c>
      <c r="Z51" s="9">
        <v>23960</v>
      </c>
      <c r="AA51" s="9">
        <v>23940</v>
      </c>
      <c r="AB51" s="9">
        <v>24030</v>
      </c>
      <c r="AC51" s="9">
        <v>24600</v>
      </c>
      <c r="AD51" s="9">
        <v>25120</v>
      </c>
      <c r="AE51" s="9">
        <v>25340</v>
      </c>
      <c r="AF51" s="9">
        <v>25820</v>
      </c>
      <c r="AG51" s="9">
        <v>26080</v>
      </c>
      <c r="AH51" s="9">
        <v>26820</v>
      </c>
      <c r="AI51" s="9">
        <v>28100</v>
      </c>
      <c r="AJ51" s="9">
        <v>28670</v>
      </c>
      <c r="AK51" s="9">
        <v>30000</v>
      </c>
      <c r="AL51" s="9">
        <v>30870</v>
      </c>
      <c r="AM51" s="9">
        <v>30110</v>
      </c>
      <c r="AN51" s="9">
        <v>30100</v>
      </c>
      <c r="AO51" s="9">
        <v>29600</v>
      </c>
      <c r="AP51" s="9">
        <v>29630</v>
      </c>
      <c r="AQ51" s="9">
        <v>29170</v>
      </c>
      <c r="AR51" s="9">
        <v>29240</v>
      </c>
      <c r="AS51" s="9">
        <v>28870</v>
      </c>
      <c r="AT51" s="9">
        <v>28100</v>
      </c>
      <c r="AU51" s="9">
        <v>28840</v>
      </c>
      <c r="AV51" s="9">
        <v>28490</v>
      </c>
      <c r="AW51" s="9">
        <v>27550</v>
      </c>
      <c r="AX51" s="9">
        <v>27290</v>
      </c>
      <c r="AY51" s="9">
        <v>27730</v>
      </c>
      <c r="AZ51" s="9">
        <v>27540</v>
      </c>
      <c r="BA51" s="9">
        <v>28090</v>
      </c>
      <c r="BB51" s="9">
        <v>29080</v>
      </c>
      <c r="BC51" s="9">
        <v>30000</v>
      </c>
      <c r="BD51" s="9">
        <v>29620</v>
      </c>
      <c r="BE51" s="9">
        <v>30220</v>
      </c>
      <c r="BF51" s="9">
        <v>29660</v>
      </c>
      <c r="BG51" s="9">
        <v>29170</v>
      </c>
      <c r="BH51" s="9">
        <v>28670</v>
      </c>
      <c r="BI51" s="9">
        <v>27850</v>
      </c>
      <c r="BJ51" s="9">
        <v>27620</v>
      </c>
      <c r="BK51" s="9">
        <v>27940</v>
      </c>
      <c r="BL51" s="9">
        <v>28210</v>
      </c>
      <c r="BM51" s="9">
        <v>28430</v>
      </c>
      <c r="BN51" s="9">
        <v>28650</v>
      </c>
      <c r="BO51" s="9">
        <v>28870</v>
      </c>
    </row>
    <row r="52" spans="3:67" x14ac:dyDescent="0.2">
      <c r="C52" s="3">
        <v>49</v>
      </c>
      <c r="E52" s="9">
        <v>23940</v>
      </c>
      <c r="F52" s="9">
        <v>24420</v>
      </c>
      <c r="G52" s="9">
        <v>25510</v>
      </c>
      <c r="H52" s="9">
        <v>25900</v>
      </c>
      <c r="I52" s="9">
        <v>27170</v>
      </c>
      <c r="J52" s="9">
        <v>27610</v>
      </c>
      <c r="K52" s="9">
        <v>27700</v>
      </c>
      <c r="L52" s="9">
        <v>26890</v>
      </c>
      <c r="M52" s="9">
        <v>26250</v>
      </c>
      <c r="N52" s="9">
        <v>26140</v>
      </c>
      <c r="O52" s="9">
        <v>26620</v>
      </c>
      <c r="P52" s="9">
        <v>26810</v>
      </c>
      <c r="Q52" s="9">
        <v>27230</v>
      </c>
      <c r="R52" s="9">
        <v>27190</v>
      </c>
      <c r="S52" s="9">
        <v>28120</v>
      </c>
      <c r="T52" s="9">
        <v>27580</v>
      </c>
      <c r="U52" s="9">
        <v>26640</v>
      </c>
      <c r="V52" s="9">
        <v>25680</v>
      </c>
      <c r="W52" s="9">
        <v>24640</v>
      </c>
      <c r="X52" s="9">
        <v>23490</v>
      </c>
      <c r="Y52" s="9">
        <v>23460</v>
      </c>
      <c r="Z52" s="9">
        <v>23210</v>
      </c>
      <c r="AA52" s="9">
        <v>23930</v>
      </c>
      <c r="AB52" s="9">
        <v>23910</v>
      </c>
      <c r="AC52" s="9">
        <v>24000</v>
      </c>
      <c r="AD52" s="9">
        <v>24570</v>
      </c>
      <c r="AE52" s="9">
        <v>25090</v>
      </c>
      <c r="AF52" s="9">
        <v>25320</v>
      </c>
      <c r="AG52" s="9">
        <v>25800</v>
      </c>
      <c r="AH52" s="9">
        <v>26050</v>
      </c>
      <c r="AI52" s="9">
        <v>26790</v>
      </c>
      <c r="AJ52" s="9">
        <v>28070</v>
      </c>
      <c r="AK52" s="9">
        <v>28650</v>
      </c>
      <c r="AL52" s="9">
        <v>29990</v>
      </c>
      <c r="AM52" s="9">
        <v>30850</v>
      </c>
      <c r="AN52" s="9">
        <v>30100</v>
      </c>
      <c r="AO52" s="9">
        <v>30080</v>
      </c>
      <c r="AP52" s="9">
        <v>29580</v>
      </c>
      <c r="AQ52" s="9">
        <v>29610</v>
      </c>
      <c r="AR52" s="9">
        <v>29150</v>
      </c>
      <c r="AS52" s="9">
        <v>29220</v>
      </c>
      <c r="AT52" s="9">
        <v>28850</v>
      </c>
      <c r="AU52" s="9">
        <v>28090</v>
      </c>
      <c r="AV52" s="9">
        <v>28830</v>
      </c>
      <c r="AW52" s="9">
        <v>28480</v>
      </c>
      <c r="AX52" s="9">
        <v>27530</v>
      </c>
      <c r="AY52" s="9">
        <v>27280</v>
      </c>
      <c r="AZ52" s="9">
        <v>27710</v>
      </c>
      <c r="BA52" s="9">
        <v>27530</v>
      </c>
      <c r="BB52" s="9">
        <v>28080</v>
      </c>
      <c r="BC52" s="9">
        <v>29070</v>
      </c>
      <c r="BD52" s="9">
        <v>30000</v>
      </c>
      <c r="BE52" s="9">
        <v>29610</v>
      </c>
      <c r="BF52" s="9">
        <v>30220</v>
      </c>
      <c r="BG52" s="9">
        <v>29660</v>
      </c>
      <c r="BH52" s="9">
        <v>29170</v>
      </c>
      <c r="BI52" s="9">
        <v>28660</v>
      </c>
      <c r="BJ52" s="9">
        <v>27840</v>
      </c>
      <c r="BK52" s="9">
        <v>27620</v>
      </c>
      <c r="BL52" s="9">
        <v>27930</v>
      </c>
      <c r="BM52" s="9">
        <v>28200</v>
      </c>
      <c r="BN52" s="9">
        <v>28430</v>
      </c>
      <c r="BO52" s="9">
        <v>28650</v>
      </c>
    </row>
    <row r="53" spans="3:67" x14ac:dyDescent="0.2">
      <c r="C53" s="3">
        <v>50</v>
      </c>
      <c r="E53" s="9">
        <v>23360</v>
      </c>
      <c r="F53" s="9">
        <v>23840</v>
      </c>
      <c r="G53" s="9">
        <v>24330</v>
      </c>
      <c r="H53" s="9">
        <v>25430</v>
      </c>
      <c r="I53" s="9">
        <v>25850</v>
      </c>
      <c r="J53" s="9">
        <v>27060</v>
      </c>
      <c r="K53" s="9">
        <v>27480</v>
      </c>
      <c r="L53" s="9">
        <v>27590</v>
      </c>
      <c r="M53" s="9">
        <v>27210</v>
      </c>
      <c r="N53" s="9">
        <v>26300</v>
      </c>
      <c r="O53" s="9">
        <v>26140</v>
      </c>
      <c r="P53" s="9">
        <v>26560</v>
      </c>
      <c r="Q53" s="9">
        <v>26760</v>
      </c>
      <c r="R53" s="9">
        <v>27180</v>
      </c>
      <c r="S53" s="9">
        <v>27140</v>
      </c>
      <c r="T53" s="9">
        <v>28080</v>
      </c>
      <c r="U53" s="9">
        <v>27530</v>
      </c>
      <c r="V53" s="9">
        <v>26600</v>
      </c>
      <c r="W53" s="9">
        <v>25640</v>
      </c>
      <c r="X53" s="9">
        <v>24600</v>
      </c>
      <c r="Y53" s="9">
        <v>23450</v>
      </c>
      <c r="Z53" s="9">
        <v>23420</v>
      </c>
      <c r="AA53" s="9">
        <v>23170</v>
      </c>
      <c r="AB53" s="9">
        <v>23890</v>
      </c>
      <c r="AC53" s="9">
        <v>23870</v>
      </c>
      <c r="AD53" s="9">
        <v>23960</v>
      </c>
      <c r="AE53" s="9">
        <v>24540</v>
      </c>
      <c r="AF53" s="9">
        <v>25060</v>
      </c>
      <c r="AG53" s="9">
        <v>25290</v>
      </c>
      <c r="AH53" s="9">
        <v>25770</v>
      </c>
      <c r="AI53" s="9">
        <v>26020</v>
      </c>
      <c r="AJ53" s="9">
        <v>26770</v>
      </c>
      <c r="AK53" s="9">
        <v>28050</v>
      </c>
      <c r="AL53" s="9">
        <v>28630</v>
      </c>
      <c r="AM53" s="9">
        <v>29970</v>
      </c>
      <c r="AN53" s="9">
        <v>30830</v>
      </c>
      <c r="AO53" s="9">
        <v>30080</v>
      </c>
      <c r="AP53" s="9">
        <v>30070</v>
      </c>
      <c r="AQ53" s="9">
        <v>29570</v>
      </c>
      <c r="AR53" s="9">
        <v>29590</v>
      </c>
      <c r="AS53" s="9">
        <v>29130</v>
      </c>
      <c r="AT53" s="9">
        <v>29210</v>
      </c>
      <c r="AU53" s="9">
        <v>28840</v>
      </c>
      <c r="AV53" s="9">
        <v>28070</v>
      </c>
      <c r="AW53" s="9">
        <v>28810</v>
      </c>
      <c r="AX53" s="9">
        <v>28470</v>
      </c>
      <c r="AY53" s="9">
        <v>27520</v>
      </c>
      <c r="AZ53" s="9">
        <v>27260</v>
      </c>
      <c r="BA53" s="9">
        <v>27700</v>
      </c>
      <c r="BB53" s="9">
        <v>27510</v>
      </c>
      <c r="BC53" s="9">
        <v>28070</v>
      </c>
      <c r="BD53" s="9">
        <v>29060</v>
      </c>
      <c r="BE53" s="9">
        <v>29990</v>
      </c>
      <c r="BF53" s="9">
        <v>29600</v>
      </c>
      <c r="BG53" s="9">
        <v>30210</v>
      </c>
      <c r="BH53" s="9">
        <v>29650</v>
      </c>
      <c r="BI53" s="9">
        <v>29160</v>
      </c>
      <c r="BJ53" s="9">
        <v>28650</v>
      </c>
      <c r="BK53" s="9">
        <v>27830</v>
      </c>
      <c r="BL53" s="9">
        <v>27600</v>
      </c>
      <c r="BM53" s="9">
        <v>27920</v>
      </c>
      <c r="BN53" s="9">
        <v>28190</v>
      </c>
      <c r="BO53" s="9">
        <v>28420</v>
      </c>
    </row>
    <row r="54" spans="3:67" x14ac:dyDescent="0.2">
      <c r="C54" s="3">
        <v>51</v>
      </c>
      <c r="E54" s="9">
        <v>22380</v>
      </c>
      <c r="F54" s="9">
        <v>23170</v>
      </c>
      <c r="G54" s="9">
        <v>23630</v>
      </c>
      <c r="H54" s="9">
        <v>24130</v>
      </c>
      <c r="I54" s="9">
        <v>25280</v>
      </c>
      <c r="J54" s="9">
        <v>25640</v>
      </c>
      <c r="K54" s="9">
        <v>26840</v>
      </c>
      <c r="L54" s="9">
        <v>27280</v>
      </c>
      <c r="M54" s="9">
        <v>27700</v>
      </c>
      <c r="N54" s="9">
        <v>27180</v>
      </c>
      <c r="O54" s="9">
        <v>26230</v>
      </c>
      <c r="P54" s="9">
        <v>26020</v>
      </c>
      <c r="Q54" s="9">
        <v>26450</v>
      </c>
      <c r="R54" s="9">
        <v>26660</v>
      </c>
      <c r="S54" s="9">
        <v>27090</v>
      </c>
      <c r="T54" s="9">
        <v>27060</v>
      </c>
      <c r="U54" s="9">
        <v>28000</v>
      </c>
      <c r="V54" s="9">
        <v>27460</v>
      </c>
      <c r="W54" s="9">
        <v>26530</v>
      </c>
      <c r="X54" s="9">
        <v>25580</v>
      </c>
      <c r="Y54" s="9">
        <v>24550</v>
      </c>
      <c r="Z54" s="9">
        <v>23410</v>
      </c>
      <c r="AA54" s="9">
        <v>23380</v>
      </c>
      <c r="AB54" s="9">
        <v>23130</v>
      </c>
      <c r="AC54" s="9">
        <v>23860</v>
      </c>
      <c r="AD54" s="9">
        <v>23840</v>
      </c>
      <c r="AE54" s="9">
        <v>23930</v>
      </c>
      <c r="AF54" s="9">
        <v>24510</v>
      </c>
      <c r="AG54" s="9">
        <v>25030</v>
      </c>
      <c r="AH54" s="9">
        <v>25260</v>
      </c>
      <c r="AI54" s="9">
        <v>25740</v>
      </c>
      <c r="AJ54" s="9">
        <v>26000</v>
      </c>
      <c r="AK54" s="9">
        <v>26740</v>
      </c>
      <c r="AL54" s="9">
        <v>28030</v>
      </c>
      <c r="AM54" s="9">
        <v>28600</v>
      </c>
      <c r="AN54" s="9">
        <v>29950</v>
      </c>
      <c r="AO54" s="9">
        <v>30820</v>
      </c>
      <c r="AP54" s="9">
        <v>30060</v>
      </c>
      <c r="AQ54" s="9">
        <v>30050</v>
      </c>
      <c r="AR54" s="9">
        <v>29550</v>
      </c>
      <c r="AS54" s="9">
        <v>29580</v>
      </c>
      <c r="AT54" s="9">
        <v>29120</v>
      </c>
      <c r="AU54" s="9">
        <v>29190</v>
      </c>
      <c r="AV54" s="9">
        <v>28820</v>
      </c>
      <c r="AW54" s="9">
        <v>28050</v>
      </c>
      <c r="AX54" s="9">
        <v>28800</v>
      </c>
      <c r="AY54" s="9">
        <v>28450</v>
      </c>
      <c r="AZ54" s="9">
        <v>27500</v>
      </c>
      <c r="BA54" s="9">
        <v>27240</v>
      </c>
      <c r="BB54" s="9">
        <v>27690</v>
      </c>
      <c r="BC54" s="9">
        <v>27500</v>
      </c>
      <c r="BD54" s="9">
        <v>28060</v>
      </c>
      <c r="BE54" s="9">
        <v>29050</v>
      </c>
      <c r="BF54" s="9">
        <v>29980</v>
      </c>
      <c r="BG54" s="9">
        <v>29590</v>
      </c>
      <c r="BH54" s="9">
        <v>30200</v>
      </c>
      <c r="BI54" s="9">
        <v>29640</v>
      </c>
      <c r="BJ54" s="9">
        <v>29150</v>
      </c>
      <c r="BK54" s="9">
        <v>28640</v>
      </c>
      <c r="BL54" s="9">
        <v>27820</v>
      </c>
      <c r="BM54" s="9">
        <v>27600</v>
      </c>
      <c r="BN54" s="9">
        <v>27910</v>
      </c>
      <c r="BO54" s="9">
        <v>28180</v>
      </c>
    </row>
    <row r="55" spans="3:67" x14ac:dyDescent="0.2">
      <c r="C55" s="3">
        <v>52</v>
      </c>
      <c r="E55" s="9">
        <v>21520</v>
      </c>
      <c r="F55" s="9">
        <v>22090</v>
      </c>
      <c r="G55" s="9">
        <v>22870</v>
      </c>
      <c r="H55" s="9">
        <v>23350</v>
      </c>
      <c r="I55" s="9">
        <v>23950</v>
      </c>
      <c r="J55" s="9">
        <v>25020</v>
      </c>
      <c r="K55" s="9">
        <v>25370</v>
      </c>
      <c r="L55" s="9">
        <v>26590</v>
      </c>
      <c r="M55" s="9">
        <v>27340</v>
      </c>
      <c r="N55" s="9">
        <v>27610</v>
      </c>
      <c r="O55" s="9">
        <v>27060</v>
      </c>
      <c r="P55" s="9">
        <v>26080</v>
      </c>
      <c r="Q55" s="9">
        <v>25890</v>
      </c>
      <c r="R55" s="9">
        <v>26330</v>
      </c>
      <c r="S55" s="9">
        <v>26550</v>
      </c>
      <c r="T55" s="9">
        <v>26990</v>
      </c>
      <c r="U55" s="9">
        <v>26970</v>
      </c>
      <c r="V55" s="9">
        <v>27920</v>
      </c>
      <c r="W55" s="9">
        <v>27390</v>
      </c>
      <c r="X55" s="9">
        <v>26470</v>
      </c>
      <c r="Y55" s="9">
        <v>25530</v>
      </c>
      <c r="Z55" s="9">
        <v>24500</v>
      </c>
      <c r="AA55" s="9">
        <v>23360</v>
      </c>
      <c r="AB55" s="9">
        <v>23340</v>
      </c>
      <c r="AC55" s="9">
        <v>23100</v>
      </c>
      <c r="AD55" s="9">
        <v>23830</v>
      </c>
      <c r="AE55" s="9">
        <v>23810</v>
      </c>
      <c r="AF55" s="9">
        <v>23910</v>
      </c>
      <c r="AG55" s="9">
        <v>24490</v>
      </c>
      <c r="AH55" s="9">
        <v>25010</v>
      </c>
      <c r="AI55" s="9">
        <v>25240</v>
      </c>
      <c r="AJ55" s="9">
        <v>25720</v>
      </c>
      <c r="AK55" s="9">
        <v>25980</v>
      </c>
      <c r="AL55" s="9">
        <v>26720</v>
      </c>
      <c r="AM55" s="9">
        <v>28010</v>
      </c>
      <c r="AN55" s="9">
        <v>28590</v>
      </c>
      <c r="AO55" s="9">
        <v>29940</v>
      </c>
      <c r="AP55" s="9">
        <v>30810</v>
      </c>
      <c r="AQ55" s="9">
        <v>30050</v>
      </c>
      <c r="AR55" s="9">
        <v>30040</v>
      </c>
      <c r="AS55" s="9">
        <v>29540</v>
      </c>
      <c r="AT55" s="9">
        <v>29570</v>
      </c>
      <c r="AU55" s="9">
        <v>29110</v>
      </c>
      <c r="AV55" s="9">
        <v>29180</v>
      </c>
      <c r="AW55" s="9">
        <v>28810</v>
      </c>
      <c r="AX55" s="9">
        <v>28050</v>
      </c>
      <c r="AY55" s="9">
        <v>28790</v>
      </c>
      <c r="AZ55" s="9">
        <v>28450</v>
      </c>
      <c r="BA55" s="9">
        <v>27490</v>
      </c>
      <c r="BB55" s="9">
        <v>27240</v>
      </c>
      <c r="BC55" s="9">
        <v>27680</v>
      </c>
      <c r="BD55" s="9">
        <v>27500</v>
      </c>
      <c r="BE55" s="9">
        <v>28050</v>
      </c>
      <c r="BF55" s="9">
        <v>29050</v>
      </c>
      <c r="BG55" s="9">
        <v>29980</v>
      </c>
      <c r="BH55" s="9">
        <v>29590</v>
      </c>
      <c r="BI55" s="9">
        <v>30210</v>
      </c>
      <c r="BJ55" s="9">
        <v>29640</v>
      </c>
      <c r="BK55" s="9">
        <v>29150</v>
      </c>
      <c r="BL55" s="9">
        <v>28640</v>
      </c>
      <c r="BM55" s="9">
        <v>27820</v>
      </c>
      <c r="BN55" s="9">
        <v>27600</v>
      </c>
      <c r="BO55" s="9">
        <v>27910</v>
      </c>
    </row>
    <row r="56" spans="3:67" x14ac:dyDescent="0.2">
      <c r="C56" s="3">
        <v>53</v>
      </c>
      <c r="E56" s="9">
        <v>20290</v>
      </c>
      <c r="F56" s="9">
        <v>21200</v>
      </c>
      <c r="G56" s="9">
        <v>21770</v>
      </c>
      <c r="H56" s="9">
        <v>22590</v>
      </c>
      <c r="I56" s="9">
        <v>23130</v>
      </c>
      <c r="J56" s="9">
        <v>23660</v>
      </c>
      <c r="K56" s="9">
        <v>24740</v>
      </c>
      <c r="L56" s="9">
        <v>25120</v>
      </c>
      <c r="M56" s="9">
        <v>26610</v>
      </c>
      <c r="N56" s="9">
        <v>27250</v>
      </c>
      <c r="O56" s="9">
        <v>27490</v>
      </c>
      <c r="P56" s="9">
        <v>26910</v>
      </c>
      <c r="Q56" s="9">
        <v>25950</v>
      </c>
      <c r="R56" s="9">
        <v>25780</v>
      </c>
      <c r="S56" s="9">
        <v>26230</v>
      </c>
      <c r="T56" s="9">
        <v>26470</v>
      </c>
      <c r="U56" s="9">
        <v>26920</v>
      </c>
      <c r="V56" s="9">
        <v>26920</v>
      </c>
      <c r="W56" s="9">
        <v>27880</v>
      </c>
      <c r="X56" s="9">
        <v>27370</v>
      </c>
      <c r="Y56" s="9">
        <v>26450</v>
      </c>
      <c r="Z56" s="9">
        <v>25520</v>
      </c>
      <c r="AA56" s="9">
        <v>24500</v>
      </c>
      <c r="AB56" s="9">
        <v>23360</v>
      </c>
      <c r="AC56" s="9">
        <v>23350</v>
      </c>
      <c r="AD56" s="9">
        <v>23110</v>
      </c>
      <c r="AE56" s="9">
        <v>23840</v>
      </c>
      <c r="AF56" s="9">
        <v>23820</v>
      </c>
      <c r="AG56" s="9">
        <v>23920</v>
      </c>
      <c r="AH56" s="9">
        <v>24500</v>
      </c>
      <c r="AI56" s="9">
        <v>25030</v>
      </c>
      <c r="AJ56" s="9">
        <v>25250</v>
      </c>
      <c r="AK56" s="9">
        <v>25740</v>
      </c>
      <c r="AL56" s="9">
        <v>26000</v>
      </c>
      <c r="AM56" s="9">
        <v>26750</v>
      </c>
      <c r="AN56" s="9">
        <v>28040</v>
      </c>
      <c r="AO56" s="9">
        <v>28620</v>
      </c>
      <c r="AP56" s="9">
        <v>29970</v>
      </c>
      <c r="AQ56" s="9">
        <v>30850</v>
      </c>
      <c r="AR56" s="9">
        <v>30090</v>
      </c>
      <c r="AS56" s="9">
        <v>30080</v>
      </c>
      <c r="AT56" s="9">
        <v>29580</v>
      </c>
      <c r="AU56" s="9">
        <v>29610</v>
      </c>
      <c r="AV56" s="9">
        <v>29150</v>
      </c>
      <c r="AW56" s="9">
        <v>29220</v>
      </c>
      <c r="AX56" s="9">
        <v>28850</v>
      </c>
      <c r="AY56" s="9">
        <v>28080</v>
      </c>
      <c r="AZ56" s="9">
        <v>28830</v>
      </c>
      <c r="BA56" s="9">
        <v>28480</v>
      </c>
      <c r="BB56" s="9">
        <v>27530</v>
      </c>
      <c r="BC56" s="9">
        <v>27270</v>
      </c>
      <c r="BD56" s="9">
        <v>27720</v>
      </c>
      <c r="BE56" s="9">
        <v>27530</v>
      </c>
      <c r="BF56" s="9">
        <v>28090</v>
      </c>
      <c r="BG56" s="9">
        <v>29090</v>
      </c>
      <c r="BH56" s="9">
        <v>30030</v>
      </c>
      <c r="BI56" s="9">
        <v>29640</v>
      </c>
      <c r="BJ56" s="9">
        <v>30250</v>
      </c>
      <c r="BK56" s="9">
        <v>29690</v>
      </c>
      <c r="BL56" s="9">
        <v>29200</v>
      </c>
      <c r="BM56" s="9">
        <v>28690</v>
      </c>
      <c r="BN56" s="9">
        <v>27860</v>
      </c>
      <c r="BO56" s="9">
        <v>27640</v>
      </c>
    </row>
    <row r="57" spans="3:67" x14ac:dyDescent="0.2">
      <c r="C57" s="3">
        <v>54</v>
      </c>
      <c r="E57" s="9">
        <v>19620</v>
      </c>
      <c r="F57" s="9">
        <v>19940</v>
      </c>
      <c r="G57" s="9">
        <v>20860</v>
      </c>
      <c r="H57" s="9">
        <v>21470</v>
      </c>
      <c r="I57" s="9">
        <v>22350</v>
      </c>
      <c r="J57" s="9">
        <v>22870</v>
      </c>
      <c r="K57" s="9">
        <v>23410</v>
      </c>
      <c r="L57" s="9">
        <v>24530</v>
      </c>
      <c r="M57" s="9">
        <v>25200</v>
      </c>
      <c r="N57" s="9">
        <v>26560</v>
      </c>
      <c r="O57" s="9">
        <v>27180</v>
      </c>
      <c r="P57" s="9">
        <v>27400</v>
      </c>
      <c r="Q57" s="9">
        <v>26850</v>
      </c>
      <c r="R57" s="9">
        <v>25910</v>
      </c>
      <c r="S57" s="9">
        <v>25760</v>
      </c>
      <c r="T57" s="9">
        <v>26230</v>
      </c>
      <c r="U57" s="9">
        <v>26490</v>
      </c>
      <c r="V57" s="9">
        <v>26960</v>
      </c>
      <c r="W57" s="9">
        <v>26970</v>
      </c>
      <c r="X57" s="9">
        <v>27950</v>
      </c>
      <c r="Y57" s="9">
        <v>27450</v>
      </c>
      <c r="Z57" s="9">
        <v>26540</v>
      </c>
      <c r="AA57" s="9">
        <v>25610</v>
      </c>
      <c r="AB57" s="9">
        <v>24600</v>
      </c>
      <c r="AC57" s="9">
        <v>23460</v>
      </c>
      <c r="AD57" s="9">
        <v>23450</v>
      </c>
      <c r="AE57" s="9">
        <v>23210</v>
      </c>
      <c r="AF57" s="9">
        <v>23950</v>
      </c>
      <c r="AG57" s="9">
        <v>23940</v>
      </c>
      <c r="AH57" s="9">
        <v>24030</v>
      </c>
      <c r="AI57" s="9">
        <v>24620</v>
      </c>
      <c r="AJ57" s="9">
        <v>25140</v>
      </c>
      <c r="AK57" s="9">
        <v>25370</v>
      </c>
      <c r="AL57" s="9">
        <v>25870</v>
      </c>
      <c r="AM57" s="9">
        <v>26130</v>
      </c>
      <c r="AN57" s="9">
        <v>26880</v>
      </c>
      <c r="AO57" s="9">
        <v>28180</v>
      </c>
      <c r="AP57" s="9">
        <v>28770</v>
      </c>
      <c r="AQ57" s="9">
        <v>30120</v>
      </c>
      <c r="AR57" s="9">
        <v>31010</v>
      </c>
      <c r="AS57" s="9">
        <v>30250</v>
      </c>
      <c r="AT57" s="9">
        <v>30230</v>
      </c>
      <c r="AU57" s="9">
        <v>29730</v>
      </c>
      <c r="AV57" s="9">
        <v>29760</v>
      </c>
      <c r="AW57" s="9">
        <v>29300</v>
      </c>
      <c r="AX57" s="9">
        <v>29380</v>
      </c>
      <c r="AY57" s="9">
        <v>29000</v>
      </c>
      <c r="AZ57" s="9">
        <v>28230</v>
      </c>
      <c r="BA57" s="9">
        <v>28990</v>
      </c>
      <c r="BB57" s="9">
        <v>28640</v>
      </c>
      <c r="BC57" s="9">
        <v>27680</v>
      </c>
      <c r="BD57" s="9">
        <v>27420</v>
      </c>
      <c r="BE57" s="9">
        <v>27870</v>
      </c>
      <c r="BF57" s="9">
        <v>27680</v>
      </c>
      <c r="BG57" s="9">
        <v>28250</v>
      </c>
      <c r="BH57" s="9">
        <v>29250</v>
      </c>
      <c r="BI57" s="9">
        <v>30200</v>
      </c>
      <c r="BJ57" s="9">
        <v>29800</v>
      </c>
      <c r="BK57" s="9">
        <v>30420</v>
      </c>
      <c r="BL57" s="9">
        <v>29860</v>
      </c>
      <c r="BM57" s="9">
        <v>29360</v>
      </c>
      <c r="BN57" s="9">
        <v>28850</v>
      </c>
      <c r="BO57" s="9">
        <v>28020</v>
      </c>
    </row>
    <row r="58" spans="3:67" x14ac:dyDescent="0.2">
      <c r="C58" s="3">
        <v>55</v>
      </c>
      <c r="E58" s="9">
        <v>18880</v>
      </c>
      <c r="F58" s="9">
        <v>19260</v>
      </c>
      <c r="G58" s="9">
        <v>19640</v>
      </c>
      <c r="H58" s="9">
        <v>20570</v>
      </c>
      <c r="I58" s="9">
        <v>21230</v>
      </c>
      <c r="J58" s="9">
        <v>22080</v>
      </c>
      <c r="K58" s="9">
        <v>22640</v>
      </c>
      <c r="L58" s="9">
        <v>23210</v>
      </c>
      <c r="M58" s="9">
        <v>24600</v>
      </c>
      <c r="N58" s="9">
        <v>25160</v>
      </c>
      <c r="O58" s="9">
        <v>26500</v>
      </c>
      <c r="P58" s="9">
        <v>27100</v>
      </c>
      <c r="Q58" s="9">
        <v>27340</v>
      </c>
      <c r="R58" s="9">
        <v>26810</v>
      </c>
      <c r="S58" s="9">
        <v>25900</v>
      </c>
      <c r="T58" s="9">
        <v>25770</v>
      </c>
      <c r="U58" s="9">
        <v>26260</v>
      </c>
      <c r="V58" s="9">
        <v>26540</v>
      </c>
      <c r="W58" s="9">
        <v>27030</v>
      </c>
      <c r="X58" s="9">
        <v>27050</v>
      </c>
      <c r="Y58" s="9">
        <v>28050</v>
      </c>
      <c r="Z58" s="9">
        <v>27560</v>
      </c>
      <c r="AA58" s="9">
        <v>26660</v>
      </c>
      <c r="AB58" s="9">
        <v>25730</v>
      </c>
      <c r="AC58" s="9">
        <v>24720</v>
      </c>
      <c r="AD58" s="9">
        <v>23580</v>
      </c>
      <c r="AE58" s="9">
        <v>23570</v>
      </c>
      <c r="AF58" s="9">
        <v>23340</v>
      </c>
      <c r="AG58" s="9">
        <v>24080</v>
      </c>
      <c r="AH58" s="9">
        <v>24060</v>
      </c>
      <c r="AI58" s="9">
        <v>24160</v>
      </c>
      <c r="AJ58" s="9">
        <v>24750</v>
      </c>
      <c r="AK58" s="9">
        <v>25280</v>
      </c>
      <c r="AL58" s="9">
        <v>25510</v>
      </c>
      <c r="AM58" s="9">
        <v>26000</v>
      </c>
      <c r="AN58" s="9">
        <v>26270</v>
      </c>
      <c r="AO58" s="9">
        <v>27020</v>
      </c>
      <c r="AP58" s="9">
        <v>28330</v>
      </c>
      <c r="AQ58" s="9">
        <v>28920</v>
      </c>
      <c r="AR58" s="9">
        <v>30290</v>
      </c>
      <c r="AS58" s="9">
        <v>31180</v>
      </c>
      <c r="AT58" s="9">
        <v>30420</v>
      </c>
      <c r="AU58" s="9">
        <v>30410</v>
      </c>
      <c r="AV58" s="9">
        <v>29900</v>
      </c>
      <c r="AW58" s="9">
        <v>29930</v>
      </c>
      <c r="AX58" s="9">
        <v>29470</v>
      </c>
      <c r="AY58" s="9">
        <v>29540</v>
      </c>
      <c r="AZ58" s="9">
        <v>29170</v>
      </c>
      <c r="BA58" s="9">
        <v>28390</v>
      </c>
      <c r="BB58" s="9">
        <v>29160</v>
      </c>
      <c r="BC58" s="9">
        <v>28810</v>
      </c>
      <c r="BD58" s="9">
        <v>27840</v>
      </c>
      <c r="BE58" s="9">
        <v>27580</v>
      </c>
      <c r="BF58" s="9">
        <v>28030</v>
      </c>
      <c r="BG58" s="9">
        <v>27850</v>
      </c>
      <c r="BH58" s="9">
        <v>28420</v>
      </c>
      <c r="BI58" s="9">
        <v>29430</v>
      </c>
      <c r="BJ58" s="9">
        <v>30380</v>
      </c>
      <c r="BK58" s="9">
        <v>29980</v>
      </c>
      <c r="BL58" s="9">
        <v>30610</v>
      </c>
      <c r="BM58" s="9">
        <v>30040</v>
      </c>
      <c r="BN58" s="9">
        <v>29540</v>
      </c>
      <c r="BO58" s="9">
        <v>29020</v>
      </c>
    </row>
    <row r="59" spans="3:67" x14ac:dyDescent="0.2">
      <c r="C59" s="3">
        <v>56</v>
      </c>
      <c r="E59" s="9">
        <v>18540</v>
      </c>
      <c r="F59" s="9">
        <v>18560</v>
      </c>
      <c r="G59" s="9">
        <v>18920</v>
      </c>
      <c r="H59" s="9">
        <v>19390</v>
      </c>
      <c r="I59" s="9">
        <v>20340</v>
      </c>
      <c r="J59" s="9">
        <v>21030</v>
      </c>
      <c r="K59" s="9">
        <v>21870</v>
      </c>
      <c r="L59" s="9">
        <v>22460</v>
      </c>
      <c r="M59" s="9">
        <v>23260</v>
      </c>
      <c r="N59" s="9">
        <v>24600</v>
      </c>
      <c r="O59" s="9">
        <v>25140</v>
      </c>
      <c r="P59" s="9">
        <v>26460</v>
      </c>
      <c r="Q59" s="9">
        <v>27090</v>
      </c>
      <c r="R59" s="9">
        <v>27360</v>
      </c>
      <c r="S59" s="9">
        <v>26860</v>
      </c>
      <c r="T59" s="9">
        <v>25970</v>
      </c>
      <c r="U59" s="9">
        <v>25860</v>
      </c>
      <c r="V59" s="9">
        <v>26380</v>
      </c>
      <c r="W59" s="9">
        <v>26670</v>
      </c>
      <c r="X59" s="9">
        <v>27180</v>
      </c>
      <c r="Y59" s="9">
        <v>27220</v>
      </c>
      <c r="Z59" s="9">
        <v>28240</v>
      </c>
      <c r="AA59" s="9">
        <v>27750</v>
      </c>
      <c r="AB59" s="9">
        <v>26850</v>
      </c>
      <c r="AC59" s="9">
        <v>25930</v>
      </c>
      <c r="AD59" s="9">
        <v>24910</v>
      </c>
      <c r="AE59" s="9">
        <v>23770</v>
      </c>
      <c r="AF59" s="9">
        <v>23760</v>
      </c>
      <c r="AG59" s="9">
        <v>23520</v>
      </c>
      <c r="AH59" s="9">
        <v>24270</v>
      </c>
      <c r="AI59" s="9">
        <v>24250</v>
      </c>
      <c r="AJ59" s="9">
        <v>24350</v>
      </c>
      <c r="AK59" s="9">
        <v>24940</v>
      </c>
      <c r="AL59" s="9">
        <v>25470</v>
      </c>
      <c r="AM59" s="9">
        <v>25710</v>
      </c>
      <c r="AN59" s="9">
        <v>26210</v>
      </c>
      <c r="AO59" s="9">
        <v>26470</v>
      </c>
      <c r="AP59" s="9">
        <v>27240</v>
      </c>
      <c r="AQ59" s="9">
        <v>28560</v>
      </c>
      <c r="AR59" s="9">
        <v>29150</v>
      </c>
      <c r="AS59" s="9">
        <v>30530</v>
      </c>
      <c r="AT59" s="9">
        <v>31430</v>
      </c>
      <c r="AU59" s="9">
        <v>30660</v>
      </c>
      <c r="AV59" s="9">
        <v>30650</v>
      </c>
      <c r="AW59" s="9">
        <v>30150</v>
      </c>
      <c r="AX59" s="9">
        <v>30180</v>
      </c>
      <c r="AY59" s="9">
        <v>29710</v>
      </c>
      <c r="AZ59" s="9">
        <v>29790</v>
      </c>
      <c r="BA59" s="9">
        <v>29410</v>
      </c>
      <c r="BB59" s="9">
        <v>28630</v>
      </c>
      <c r="BC59" s="9">
        <v>29400</v>
      </c>
      <c r="BD59" s="9">
        <v>29050</v>
      </c>
      <c r="BE59" s="9">
        <v>28070</v>
      </c>
      <c r="BF59" s="9">
        <v>27810</v>
      </c>
      <c r="BG59" s="9">
        <v>28270</v>
      </c>
      <c r="BH59" s="9">
        <v>28080</v>
      </c>
      <c r="BI59" s="9">
        <v>28660</v>
      </c>
      <c r="BJ59" s="9">
        <v>29680</v>
      </c>
      <c r="BK59" s="9">
        <v>30630</v>
      </c>
      <c r="BL59" s="9">
        <v>30240</v>
      </c>
      <c r="BM59" s="9">
        <v>30870</v>
      </c>
      <c r="BN59" s="9">
        <v>30290</v>
      </c>
      <c r="BO59" s="9">
        <v>29790</v>
      </c>
    </row>
    <row r="60" spans="3:67" x14ac:dyDescent="0.2">
      <c r="C60" s="3">
        <v>57</v>
      </c>
      <c r="E60" s="9">
        <v>17430</v>
      </c>
      <c r="F60" s="9">
        <v>18190</v>
      </c>
      <c r="G60" s="9">
        <v>18240</v>
      </c>
      <c r="H60" s="9">
        <v>18640</v>
      </c>
      <c r="I60" s="9">
        <v>19180</v>
      </c>
      <c r="J60" s="9">
        <v>20130</v>
      </c>
      <c r="K60" s="9">
        <v>20820</v>
      </c>
      <c r="L60" s="9">
        <v>21700</v>
      </c>
      <c r="M60" s="9">
        <v>22670</v>
      </c>
      <c r="N60" s="9">
        <v>23250</v>
      </c>
      <c r="O60" s="9">
        <v>24570</v>
      </c>
      <c r="P60" s="9">
        <v>25100</v>
      </c>
      <c r="Q60" s="9">
        <v>26440</v>
      </c>
      <c r="R60" s="9">
        <v>27100</v>
      </c>
      <c r="S60" s="9">
        <v>27400</v>
      </c>
      <c r="T60" s="9">
        <v>26920</v>
      </c>
      <c r="U60" s="9">
        <v>26050</v>
      </c>
      <c r="V60" s="9">
        <v>25960</v>
      </c>
      <c r="W60" s="9">
        <v>26500</v>
      </c>
      <c r="X60" s="9">
        <v>26800</v>
      </c>
      <c r="Y60" s="9">
        <v>27330</v>
      </c>
      <c r="Z60" s="9">
        <v>27380</v>
      </c>
      <c r="AA60" s="9">
        <v>28410</v>
      </c>
      <c r="AB60" s="9">
        <v>27930</v>
      </c>
      <c r="AC60" s="9">
        <v>27040</v>
      </c>
      <c r="AD60" s="9">
        <v>26110</v>
      </c>
      <c r="AE60" s="9">
        <v>25080</v>
      </c>
      <c r="AF60" s="9">
        <v>23930</v>
      </c>
      <c r="AG60" s="9">
        <v>23930</v>
      </c>
      <c r="AH60" s="9">
        <v>23680</v>
      </c>
      <c r="AI60" s="9">
        <v>24430</v>
      </c>
      <c r="AJ60" s="9">
        <v>24410</v>
      </c>
      <c r="AK60" s="9">
        <v>24510</v>
      </c>
      <c r="AL60" s="9">
        <v>25100</v>
      </c>
      <c r="AM60" s="9">
        <v>25640</v>
      </c>
      <c r="AN60" s="9">
        <v>25880</v>
      </c>
      <c r="AO60" s="9">
        <v>26380</v>
      </c>
      <c r="AP60" s="9">
        <v>26650</v>
      </c>
      <c r="AQ60" s="9">
        <v>27420</v>
      </c>
      <c r="AR60" s="9">
        <v>28750</v>
      </c>
      <c r="AS60" s="9">
        <v>29350</v>
      </c>
      <c r="AT60" s="9">
        <v>30740</v>
      </c>
      <c r="AU60" s="9">
        <v>31640</v>
      </c>
      <c r="AV60" s="9">
        <v>30870</v>
      </c>
      <c r="AW60" s="9">
        <v>30860</v>
      </c>
      <c r="AX60" s="9">
        <v>30350</v>
      </c>
      <c r="AY60" s="9">
        <v>30390</v>
      </c>
      <c r="AZ60" s="9">
        <v>29920</v>
      </c>
      <c r="BA60" s="9">
        <v>30000</v>
      </c>
      <c r="BB60" s="9">
        <v>29620</v>
      </c>
      <c r="BC60" s="9">
        <v>28830</v>
      </c>
      <c r="BD60" s="9">
        <v>29610</v>
      </c>
      <c r="BE60" s="9">
        <v>29250</v>
      </c>
      <c r="BF60" s="9">
        <v>28270</v>
      </c>
      <c r="BG60" s="9">
        <v>28010</v>
      </c>
      <c r="BH60" s="9">
        <v>28470</v>
      </c>
      <c r="BI60" s="9">
        <v>28290</v>
      </c>
      <c r="BJ60" s="9">
        <v>28860</v>
      </c>
      <c r="BK60" s="9">
        <v>29890</v>
      </c>
      <c r="BL60" s="9">
        <v>30860</v>
      </c>
      <c r="BM60" s="9">
        <v>30460</v>
      </c>
      <c r="BN60" s="9">
        <v>31100</v>
      </c>
      <c r="BO60" s="9">
        <v>30520</v>
      </c>
    </row>
    <row r="61" spans="3:67" x14ac:dyDescent="0.2">
      <c r="C61" s="3">
        <v>58</v>
      </c>
      <c r="E61" s="9">
        <v>17180</v>
      </c>
      <c r="F61" s="9">
        <v>17110</v>
      </c>
      <c r="G61" s="9">
        <v>17860</v>
      </c>
      <c r="H61" s="9">
        <v>17950</v>
      </c>
      <c r="I61" s="9">
        <v>18420</v>
      </c>
      <c r="J61" s="9">
        <v>18950</v>
      </c>
      <c r="K61" s="9">
        <v>19900</v>
      </c>
      <c r="L61" s="9">
        <v>20630</v>
      </c>
      <c r="M61" s="9">
        <v>21730</v>
      </c>
      <c r="N61" s="9">
        <v>22620</v>
      </c>
      <c r="O61" s="9">
        <v>23180</v>
      </c>
      <c r="P61" s="9">
        <v>24470</v>
      </c>
      <c r="Q61" s="9">
        <v>25020</v>
      </c>
      <c r="R61" s="9">
        <v>26380</v>
      </c>
      <c r="S61" s="9">
        <v>27060</v>
      </c>
      <c r="T61" s="9">
        <v>27370</v>
      </c>
      <c r="U61" s="9">
        <v>26920</v>
      </c>
      <c r="V61" s="9">
        <v>26060</v>
      </c>
      <c r="W61" s="9">
        <v>25980</v>
      </c>
      <c r="X61" s="9">
        <v>26530</v>
      </c>
      <c r="Y61" s="9">
        <v>26840</v>
      </c>
      <c r="Z61" s="9">
        <v>27380</v>
      </c>
      <c r="AA61" s="9">
        <v>27440</v>
      </c>
      <c r="AB61" s="9">
        <v>28470</v>
      </c>
      <c r="AC61" s="9">
        <v>27990</v>
      </c>
      <c r="AD61" s="9">
        <v>27100</v>
      </c>
      <c r="AE61" s="9">
        <v>26170</v>
      </c>
      <c r="AF61" s="9">
        <v>25140</v>
      </c>
      <c r="AG61" s="9">
        <v>23990</v>
      </c>
      <c r="AH61" s="9">
        <v>23970</v>
      </c>
      <c r="AI61" s="9">
        <v>23720</v>
      </c>
      <c r="AJ61" s="9">
        <v>24470</v>
      </c>
      <c r="AK61" s="9">
        <v>24450</v>
      </c>
      <c r="AL61" s="9">
        <v>24540</v>
      </c>
      <c r="AM61" s="9">
        <v>25140</v>
      </c>
      <c r="AN61" s="9">
        <v>25680</v>
      </c>
      <c r="AO61" s="9">
        <v>25920</v>
      </c>
      <c r="AP61" s="9">
        <v>26430</v>
      </c>
      <c r="AQ61" s="9">
        <v>26700</v>
      </c>
      <c r="AR61" s="9">
        <v>27470</v>
      </c>
      <c r="AS61" s="9">
        <v>28800</v>
      </c>
      <c r="AT61" s="9">
        <v>29400</v>
      </c>
      <c r="AU61" s="9">
        <v>30800</v>
      </c>
      <c r="AV61" s="9">
        <v>31700</v>
      </c>
      <c r="AW61" s="9">
        <v>30930</v>
      </c>
      <c r="AX61" s="9">
        <v>30920</v>
      </c>
      <c r="AY61" s="9">
        <v>30410</v>
      </c>
      <c r="AZ61" s="9">
        <v>30450</v>
      </c>
      <c r="BA61" s="9">
        <v>29980</v>
      </c>
      <c r="BB61" s="9">
        <v>30060</v>
      </c>
      <c r="BC61" s="9">
        <v>29680</v>
      </c>
      <c r="BD61" s="9">
        <v>28890</v>
      </c>
      <c r="BE61" s="9">
        <v>29670</v>
      </c>
      <c r="BF61" s="9">
        <v>29320</v>
      </c>
      <c r="BG61" s="9">
        <v>28340</v>
      </c>
      <c r="BH61" s="9">
        <v>28080</v>
      </c>
      <c r="BI61" s="9">
        <v>28540</v>
      </c>
      <c r="BJ61" s="9">
        <v>28350</v>
      </c>
      <c r="BK61" s="9">
        <v>28930</v>
      </c>
      <c r="BL61" s="9">
        <v>29960</v>
      </c>
      <c r="BM61" s="9">
        <v>30930</v>
      </c>
      <c r="BN61" s="9">
        <v>30530</v>
      </c>
      <c r="BO61" s="9">
        <v>31170</v>
      </c>
    </row>
    <row r="62" spans="3:67" x14ac:dyDescent="0.2">
      <c r="C62" s="3">
        <v>59</v>
      </c>
      <c r="E62" s="9">
        <v>16570</v>
      </c>
      <c r="F62" s="9">
        <v>16710</v>
      </c>
      <c r="G62" s="9">
        <v>16630</v>
      </c>
      <c r="H62" s="9">
        <v>17410</v>
      </c>
      <c r="I62" s="9">
        <v>17530</v>
      </c>
      <c r="J62" s="9">
        <v>18040</v>
      </c>
      <c r="K62" s="9">
        <v>18570</v>
      </c>
      <c r="L62" s="9">
        <v>19530</v>
      </c>
      <c r="M62" s="9">
        <v>20570</v>
      </c>
      <c r="N62" s="9">
        <v>21490</v>
      </c>
      <c r="O62" s="9">
        <v>22350</v>
      </c>
      <c r="P62" s="9">
        <v>22880</v>
      </c>
      <c r="Q62" s="9">
        <v>24170</v>
      </c>
      <c r="R62" s="9">
        <v>24740</v>
      </c>
      <c r="S62" s="9">
        <v>26110</v>
      </c>
      <c r="T62" s="9">
        <v>26790</v>
      </c>
      <c r="U62" s="9">
        <v>27130</v>
      </c>
      <c r="V62" s="9">
        <v>26690</v>
      </c>
      <c r="W62" s="9">
        <v>25850</v>
      </c>
      <c r="X62" s="9">
        <v>25790</v>
      </c>
      <c r="Y62" s="9">
        <v>26340</v>
      </c>
      <c r="Z62" s="9">
        <v>26660</v>
      </c>
      <c r="AA62" s="9">
        <v>27190</v>
      </c>
      <c r="AB62" s="9">
        <v>27260</v>
      </c>
      <c r="AC62" s="9">
        <v>28290</v>
      </c>
      <c r="AD62" s="9">
        <v>27810</v>
      </c>
      <c r="AE62" s="9">
        <v>26920</v>
      </c>
      <c r="AF62" s="9">
        <v>26000</v>
      </c>
      <c r="AG62" s="9">
        <v>24970</v>
      </c>
      <c r="AH62" s="9">
        <v>23820</v>
      </c>
      <c r="AI62" s="9">
        <v>23800</v>
      </c>
      <c r="AJ62" s="9">
        <v>23550</v>
      </c>
      <c r="AK62" s="9">
        <v>24290</v>
      </c>
      <c r="AL62" s="9">
        <v>24270</v>
      </c>
      <c r="AM62" s="9">
        <v>24370</v>
      </c>
      <c r="AN62" s="9">
        <v>24960</v>
      </c>
      <c r="AO62" s="9">
        <v>25500</v>
      </c>
      <c r="AP62" s="9">
        <v>25730</v>
      </c>
      <c r="AQ62" s="9">
        <v>26240</v>
      </c>
      <c r="AR62" s="9">
        <v>26500</v>
      </c>
      <c r="AS62" s="9">
        <v>27270</v>
      </c>
      <c r="AT62" s="9">
        <v>28590</v>
      </c>
      <c r="AU62" s="9">
        <v>29190</v>
      </c>
      <c r="AV62" s="9">
        <v>30570</v>
      </c>
      <c r="AW62" s="9">
        <v>31470</v>
      </c>
      <c r="AX62" s="9">
        <v>30710</v>
      </c>
      <c r="AY62" s="9">
        <v>30700</v>
      </c>
      <c r="AZ62" s="9">
        <v>30200</v>
      </c>
      <c r="BA62" s="9">
        <v>30230</v>
      </c>
      <c r="BB62" s="9">
        <v>29770</v>
      </c>
      <c r="BC62" s="9">
        <v>29850</v>
      </c>
      <c r="BD62" s="9">
        <v>29480</v>
      </c>
      <c r="BE62" s="9">
        <v>28700</v>
      </c>
      <c r="BF62" s="9">
        <v>29470</v>
      </c>
      <c r="BG62" s="9">
        <v>29120</v>
      </c>
      <c r="BH62" s="9">
        <v>28150</v>
      </c>
      <c r="BI62" s="9">
        <v>27890</v>
      </c>
      <c r="BJ62" s="9">
        <v>28350</v>
      </c>
      <c r="BK62" s="9">
        <v>28160</v>
      </c>
      <c r="BL62" s="9">
        <v>28740</v>
      </c>
      <c r="BM62" s="9">
        <v>29760</v>
      </c>
      <c r="BN62" s="9">
        <v>30720</v>
      </c>
      <c r="BO62" s="9">
        <v>30330</v>
      </c>
    </row>
    <row r="63" spans="3:67" x14ac:dyDescent="0.2">
      <c r="C63" s="3">
        <v>60</v>
      </c>
      <c r="E63" s="9">
        <v>12920</v>
      </c>
      <c r="F63" s="9">
        <v>15630</v>
      </c>
      <c r="G63" s="9">
        <v>15840</v>
      </c>
      <c r="H63" s="9">
        <v>15790</v>
      </c>
      <c r="I63" s="9">
        <v>16610</v>
      </c>
      <c r="J63" s="9">
        <v>16820</v>
      </c>
      <c r="K63" s="9">
        <v>17330</v>
      </c>
      <c r="L63" s="9">
        <v>17900</v>
      </c>
      <c r="M63" s="9">
        <v>19270</v>
      </c>
      <c r="N63" s="9">
        <v>20040</v>
      </c>
      <c r="O63" s="9">
        <v>20940</v>
      </c>
      <c r="P63" s="9">
        <v>21780</v>
      </c>
      <c r="Q63" s="9">
        <v>22340</v>
      </c>
      <c r="R63" s="9">
        <v>23640</v>
      </c>
      <c r="S63" s="9">
        <v>24230</v>
      </c>
      <c r="T63" s="9">
        <v>25610</v>
      </c>
      <c r="U63" s="9">
        <v>26320</v>
      </c>
      <c r="V63" s="9">
        <v>26680</v>
      </c>
      <c r="W63" s="9">
        <v>26280</v>
      </c>
      <c r="X63" s="9">
        <v>25480</v>
      </c>
      <c r="Y63" s="9">
        <v>25440</v>
      </c>
      <c r="Z63" s="9">
        <v>26000</v>
      </c>
      <c r="AA63" s="9">
        <v>26330</v>
      </c>
      <c r="AB63" s="9">
        <v>26870</v>
      </c>
      <c r="AC63" s="9">
        <v>26940</v>
      </c>
      <c r="AD63" s="9">
        <v>27970</v>
      </c>
      <c r="AE63" s="9">
        <v>27500</v>
      </c>
      <c r="AF63" s="9">
        <v>26620</v>
      </c>
      <c r="AG63" s="9">
        <v>25710</v>
      </c>
      <c r="AH63" s="9">
        <v>24690</v>
      </c>
      <c r="AI63" s="9">
        <v>23540</v>
      </c>
      <c r="AJ63" s="9">
        <v>23520</v>
      </c>
      <c r="AK63" s="9">
        <v>23270</v>
      </c>
      <c r="AL63" s="9">
        <v>24000</v>
      </c>
      <c r="AM63" s="9">
        <v>23980</v>
      </c>
      <c r="AN63" s="9">
        <v>24080</v>
      </c>
      <c r="AO63" s="9">
        <v>24670</v>
      </c>
      <c r="AP63" s="9">
        <v>25200</v>
      </c>
      <c r="AQ63" s="9">
        <v>25440</v>
      </c>
      <c r="AR63" s="9">
        <v>25930</v>
      </c>
      <c r="AS63" s="9">
        <v>26200</v>
      </c>
      <c r="AT63" s="9">
        <v>26960</v>
      </c>
      <c r="AU63" s="9">
        <v>28260</v>
      </c>
      <c r="AV63" s="9">
        <v>28850</v>
      </c>
      <c r="AW63" s="9">
        <v>30220</v>
      </c>
      <c r="AX63" s="9">
        <v>31110</v>
      </c>
      <c r="AY63" s="9">
        <v>30350</v>
      </c>
      <c r="AZ63" s="9">
        <v>30350</v>
      </c>
      <c r="BA63" s="9">
        <v>29850</v>
      </c>
      <c r="BB63" s="9">
        <v>29890</v>
      </c>
      <c r="BC63" s="9">
        <v>29430</v>
      </c>
      <c r="BD63" s="9">
        <v>29510</v>
      </c>
      <c r="BE63" s="9">
        <v>29150</v>
      </c>
      <c r="BF63" s="9">
        <v>28380</v>
      </c>
      <c r="BG63" s="9">
        <v>29140</v>
      </c>
      <c r="BH63" s="9">
        <v>28790</v>
      </c>
      <c r="BI63" s="9">
        <v>27840</v>
      </c>
      <c r="BJ63" s="9">
        <v>27580</v>
      </c>
      <c r="BK63" s="9">
        <v>28040</v>
      </c>
      <c r="BL63" s="9">
        <v>27850</v>
      </c>
      <c r="BM63" s="9">
        <v>28420</v>
      </c>
      <c r="BN63" s="9">
        <v>29430</v>
      </c>
      <c r="BO63" s="9">
        <v>30380</v>
      </c>
    </row>
    <row r="64" spans="3:67" x14ac:dyDescent="0.2">
      <c r="C64" s="3">
        <v>61</v>
      </c>
      <c r="E64" s="9">
        <v>11150</v>
      </c>
      <c r="F64" s="9">
        <v>12110</v>
      </c>
      <c r="G64" s="9">
        <v>14730</v>
      </c>
      <c r="H64" s="9">
        <v>15000</v>
      </c>
      <c r="I64" s="9">
        <v>15030</v>
      </c>
      <c r="J64" s="9">
        <v>15880</v>
      </c>
      <c r="K64" s="9">
        <v>16130</v>
      </c>
      <c r="L64" s="9">
        <v>16680</v>
      </c>
      <c r="M64" s="9">
        <v>17640</v>
      </c>
      <c r="N64" s="9">
        <v>18750</v>
      </c>
      <c r="O64" s="9">
        <v>19510</v>
      </c>
      <c r="P64" s="9">
        <v>20390</v>
      </c>
      <c r="Q64" s="9">
        <v>21250</v>
      </c>
      <c r="R64" s="9">
        <v>21840</v>
      </c>
      <c r="S64" s="9">
        <v>23160</v>
      </c>
      <c r="T64" s="9">
        <v>23780</v>
      </c>
      <c r="U64" s="9">
        <v>25160</v>
      </c>
      <c r="V64" s="9">
        <v>25890</v>
      </c>
      <c r="W64" s="9">
        <v>26280</v>
      </c>
      <c r="X64" s="9">
        <v>25910</v>
      </c>
      <c r="Y64" s="9">
        <v>25150</v>
      </c>
      <c r="Z64" s="9">
        <v>25120</v>
      </c>
      <c r="AA64" s="9">
        <v>25690</v>
      </c>
      <c r="AB64" s="9">
        <v>26030</v>
      </c>
      <c r="AC64" s="9">
        <v>26570</v>
      </c>
      <c r="AD64" s="9">
        <v>26650</v>
      </c>
      <c r="AE64" s="9">
        <v>27660</v>
      </c>
      <c r="AF64" s="9">
        <v>27200</v>
      </c>
      <c r="AG64" s="9">
        <v>26330</v>
      </c>
      <c r="AH64" s="9">
        <v>25410</v>
      </c>
      <c r="AI64" s="9">
        <v>24400</v>
      </c>
      <c r="AJ64" s="9">
        <v>23260</v>
      </c>
      <c r="AK64" s="9">
        <v>23240</v>
      </c>
      <c r="AL64" s="9">
        <v>23000</v>
      </c>
      <c r="AM64" s="9">
        <v>23720</v>
      </c>
      <c r="AN64" s="9">
        <v>23700</v>
      </c>
      <c r="AO64" s="9">
        <v>23800</v>
      </c>
      <c r="AP64" s="9">
        <v>24380</v>
      </c>
      <c r="AQ64" s="9">
        <v>24910</v>
      </c>
      <c r="AR64" s="9">
        <v>25140</v>
      </c>
      <c r="AS64" s="9">
        <v>25630</v>
      </c>
      <c r="AT64" s="9">
        <v>25900</v>
      </c>
      <c r="AU64" s="9">
        <v>26650</v>
      </c>
      <c r="AV64" s="9">
        <v>27940</v>
      </c>
      <c r="AW64" s="9">
        <v>28520</v>
      </c>
      <c r="AX64" s="9">
        <v>29870</v>
      </c>
      <c r="AY64" s="9">
        <v>30750</v>
      </c>
      <c r="AZ64" s="9">
        <v>30000</v>
      </c>
      <c r="BA64" s="9">
        <v>30000</v>
      </c>
      <c r="BB64" s="9">
        <v>29510</v>
      </c>
      <c r="BC64" s="9">
        <v>29550</v>
      </c>
      <c r="BD64" s="9">
        <v>29100</v>
      </c>
      <c r="BE64" s="9">
        <v>29180</v>
      </c>
      <c r="BF64" s="9">
        <v>28820</v>
      </c>
      <c r="BG64" s="9">
        <v>28060</v>
      </c>
      <c r="BH64" s="9">
        <v>28810</v>
      </c>
      <c r="BI64" s="9">
        <v>28470</v>
      </c>
      <c r="BJ64" s="9">
        <v>27530</v>
      </c>
      <c r="BK64" s="9">
        <v>27280</v>
      </c>
      <c r="BL64" s="9">
        <v>27730</v>
      </c>
      <c r="BM64" s="9">
        <v>27550</v>
      </c>
      <c r="BN64" s="9">
        <v>28110</v>
      </c>
      <c r="BO64" s="9">
        <v>29110</v>
      </c>
    </row>
    <row r="65" spans="3:67" x14ac:dyDescent="0.2">
      <c r="C65" s="3">
        <v>62</v>
      </c>
      <c r="E65" s="9">
        <v>9500</v>
      </c>
      <c r="F65" s="9">
        <v>10370</v>
      </c>
      <c r="G65" s="9">
        <v>11330</v>
      </c>
      <c r="H65" s="9">
        <v>13840</v>
      </c>
      <c r="I65" s="9">
        <v>14180</v>
      </c>
      <c r="J65" s="9">
        <v>14250</v>
      </c>
      <c r="K65" s="9">
        <v>15110</v>
      </c>
      <c r="L65" s="9">
        <v>15400</v>
      </c>
      <c r="M65" s="9">
        <v>16290</v>
      </c>
      <c r="N65" s="9">
        <v>17020</v>
      </c>
      <c r="O65" s="9">
        <v>18100</v>
      </c>
      <c r="P65" s="9">
        <v>18830</v>
      </c>
      <c r="Q65" s="9">
        <v>19720</v>
      </c>
      <c r="R65" s="9">
        <v>20590</v>
      </c>
      <c r="S65" s="9">
        <v>21200</v>
      </c>
      <c r="T65" s="9">
        <v>22500</v>
      </c>
      <c r="U65" s="9">
        <v>23130</v>
      </c>
      <c r="V65" s="9">
        <v>24510</v>
      </c>
      <c r="W65" s="9">
        <v>25240</v>
      </c>
      <c r="X65" s="9">
        <v>25640</v>
      </c>
      <c r="Y65" s="9">
        <v>25300</v>
      </c>
      <c r="Z65" s="9">
        <v>24570</v>
      </c>
      <c r="AA65" s="9">
        <v>24550</v>
      </c>
      <c r="AB65" s="9">
        <v>25110</v>
      </c>
      <c r="AC65" s="9">
        <v>25450</v>
      </c>
      <c r="AD65" s="9">
        <v>25980</v>
      </c>
      <c r="AE65" s="9">
        <v>26050</v>
      </c>
      <c r="AF65" s="9">
        <v>27030</v>
      </c>
      <c r="AG65" s="9">
        <v>26580</v>
      </c>
      <c r="AH65" s="9">
        <v>25710</v>
      </c>
      <c r="AI65" s="9">
        <v>24810</v>
      </c>
      <c r="AJ65" s="9">
        <v>23810</v>
      </c>
      <c r="AK65" s="9">
        <v>22710</v>
      </c>
      <c r="AL65" s="9">
        <v>22680</v>
      </c>
      <c r="AM65" s="9">
        <v>22450</v>
      </c>
      <c r="AN65" s="9">
        <v>23150</v>
      </c>
      <c r="AO65" s="9">
        <v>23140</v>
      </c>
      <c r="AP65" s="9">
        <v>23240</v>
      </c>
      <c r="AQ65" s="9">
        <v>23800</v>
      </c>
      <c r="AR65" s="9">
        <v>24320</v>
      </c>
      <c r="AS65" s="9">
        <v>24550</v>
      </c>
      <c r="AT65" s="9">
        <v>25030</v>
      </c>
      <c r="AU65" s="9">
        <v>25290</v>
      </c>
      <c r="AV65" s="9">
        <v>26020</v>
      </c>
      <c r="AW65" s="9">
        <v>27280</v>
      </c>
      <c r="AX65" s="9">
        <v>27850</v>
      </c>
      <c r="AY65" s="9">
        <v>29160</v>
      </c>
      <c r="AZ65" s="9">
        <v>30020</v>
      </c>
      <c r="BA65" s="9">
        <v>29300</v>
      </c>
      <c r="BB65" s="9">
        <v>29300</v>
      </c>
      <c r="BC65" s="9">
        <v>28820</v>
      </c>
      <c r="BD65" s="9">
        <v>28860</v>
      </c>
      <c r="BE65" s="9">
        <v>28420</v>
      </c>
      <c r="BF65" s="9">
        <v>28500</v>
      </c>
      <c r="BG65" s="9">
        <v>28150</v>
      </c>
      <c r="BH65" s="9">
        <v>27410</v>
      </c>
      <c r="BI65" s="9">
        <v>28150</v>
      </c>
      <c r="BJ65" s="9">
        <v>27820</v>
      </c>
      <c r="BK65" s="9">
        <v>26900</v>
      </c>
      <c r="BL65" s="9">
        <v>26650</v>
      </c>
      <c r="BM65" s="9">
        <v>27090</v>
      </c>
      <c r="BN65" s="9">
        <v>26920</v>
      </c>
      <c r="BO65" s="9">
        <v>27470</v>
      </c>
    </row>
    <row r="66" spans="3:67" x14ac:dyDescent="0.2">
      <c r="C66" s="3">
        <v>63</v>
      </c>
      <c r="E66" s="9">
        <v>7540</v>
      </c>
      <c r="F66" s="9">
        <v>8750</v>
      </c>
      <c r="G66" s="9">
        <v>9620</v>
      </c>
      <c r="H66" s="9">
        <v>10570</v>
      </c>
      <c r="I66" s="9">
        <v>13000</v>
      </c>
      <c r="J66" s="9">
        <v>13380</v>
      </c>
      <c r="K66" s="9">
        <v>13520</v>
      </c>
      <c r="L66" s="9">
        <v>14390</v>
      </c>
      <c r="M66" s="9">
        <v>14840</v>
      </c>
      <c r="N66" s="9">
        <v>15680</v>
      </c>
      <c r="O66" s="9">
        <v>16400</v>
      </c>
      <c r="P66" s="9">
        <v>17440</v>
      </c>
      <c r="Q66" s="9">
        <v>18190</v>
      </c>
      <c r="R66" s="9">
        <v>19090</v>
      </c>
      <c r="S66" s="9">
        <v>19960</v>
      </c>
      <c r="T66" s="9">
        <v>20580</v>
      </c>
      <c r="U66" s="9">
        <v>21880</v>
      </c>
      <c r="V66" s="9">
        <v>22520</v>
      </c>
      <c r="W66" s="9">
        <v>23880</v>
      </c>
      <c r="X66" s="9">
        <v>24620</v>
      </c>
      <c r="Y66" s="9">
        <v>25020</v>
      </c>
      <c r="Z66" s="9">
        <v>24700</v>
      </c>
      <c r="AA66" s="9">
        <v>24000</v>
      </c>
      <c r="AB66" s="9">
        <v>24000</v>
      </c>
      <c r="AC66" s="9">
        <v>24550</v>
      </c>
      <c r="AD66" s="9">
        <v>24870</v>
      </c>
      <c r="AE66" s="9">
        <v>25390</v>
      </c>
      <c r="AF66" s="9">
        <v>25450</v>
      </c>
      <c r="AG66" s="9">
        <v>26400</v>
      </c>
      <c r="AH66" s="9">
        <v>25940</v>
      </c>
      <c r="AI66" s="9">
        <v>25080</v>
      </c>
      <c r="AJ66" s="9">
        <v>24190</v>
      </c>
      <c r="AK66" s="9">
        <v>23220</v>
      </c>
      <c r="AL66" s="9">
        <v>22150</v>
      </c>
      <c r="AM66" s="9">
        <v>22130</v>
      </c>
      <c r="AN66" s="9">
        <v>21900</v>
      </c>
      <c r="AO66" s="9">
        <v>22590</v>
      </c>
      <c r="AP66" s="9">
        <v>22580</v>
      </c>
      <c r="AQ66" s="9">
        <v>22670</v>
      </c>
      <c r="AR66" s="9">
        <v>23230</v>
      </c>
      <c r="AS66" s="9">
        <v>23730</v>
      </c>
      <c r="AT66" s="9">
        <v>23950</v>
      </c>
      <c r="AU66" s="9">
        <v>24420</v>
      </c>
      <c r="AV66" s="9">
        <v>24670</v>
      </c>
      <c r="AW66" s="9">
        <v>25390</v>
      </c>
      <c r="AX66" s="9">
        <v>26620</v>
      </c>
      <c r="AY66" s="9">
        <v>27170</v>
      </c>
      <c r="AZ66" s="9">
        <v>28460</v>
      </c>
      <c r="BA66" s="9">
        <v>29290</v>
      </c>
      <c r="BB66" s="9">
        <v>28590</v>
      </c>
      <c r="BC66" s="9">
        <v>28590</v>
      </c>
      <c r="BD66" s="9">
        <v>28130</v>
      </c>
      <c r="BE66" s="9">
        <v>28160</v>
      </c>
      <c r="BF66" s="9">
        <v>27740</v>
      </c>
      <c r="BG66" s="9">
        <v>27820</v>
      </c>
      <c r="BH66" s="9">
        <v>27480</v>
      </c>
      <c r="BI66" s="9">
        <v>26760</v>
      </c>
      <c r="BJ66" s="9">
        <v>27480</v>
      </c>
      <c r="BK66" s="9">
        <v>27160</v>
      </c>
      <c r="BL66" s="9">
        <v>26260</v>
      </c>
      <c r="BM66" s="9">
        <v>26020</v>
      </c>
      <c r="BN66" s="9">
        <v>26450</v>
      </c>
      <c r="BO66" s="9">
        <v>26280</v>
      </c>
    </row>
    <row r="67" spans="3:67" x14ac:dyDescent="0.2">
      <c r="C67" s="3">
        <v>64</v>
      </c>
      <c r="E67" s="9">
        <v>7100</v>
      </c>
      <c r="F67" s="9">
        <v>6780</v>
      </c>
      <c r="G67" s="9">
        <v>7930</v>
      </c>
      <c r="H67" s="9">
        <v>8790</v>
      </c>
      <c r="I67" s="9">
        <v>9720</v>
      </c>
      <c r="J67" s="9">
        <v>12020</v>
      </c>
      <c r="K67" s="9">
        <v>12430</v>
      </c>
      <c r="L67" s="9">
        <v>12610</v>
      </c>
      <c r="M67" s="9">
        <v>13590</v>
      </c>
      <c r="N67" s="9">
        <v>14000</v>
      </c>
      <c r="O67" s="9">
        <v>14810</v>
      </c>
      <c r="P67" s="9">
        <v>15500</v>
      </c>
      <c r="Q67" s="9">
        <v>16520</v>
      </c>
      <c r="R67" s="9">
        <v>17270</v>
      </c>
      <c r="S67" s="9">
        <v>18150</v>
      </c>
      <c r="T67" s="9">
        <v>19020</v>
      </c>
      <c r="U67" s="9">
        <v>19630</v>
      </c>
      <c r="V67" s="9">
        <v>20900</v>
      </c>
      <c r="W67" s="9">
        <v>21530</v>
      </c>
      <c r="X67" s="9">
        <v>22850</v>
      </c>
      <c r="Y67" s="9">
        <v>23560</v>
      </c>
      <c r="Z67" s="9">
        <v>23960</v>
      </c>
      <c r="AA67" s="9">
        <v>23670</v>
      </c>
      <c r="AB67" s="9">
        <v>23000</v>
      </c>
      <c r="AC67" s="9">
        <v>23000</v>
      </c>
      <c r="AD67" s="9">
        <v>23520</v>
      </c>
      <c r="AE67" s="9">
        <v>23830</v>
      </c>
      <c r="AF67" s="9">
        <v>24310</v>
      </c>
      <c r="AG67" s="9">
        <v>24360</v>
      </c>
      <c r="AH67" s="9">
        <v>25250</v>
      </c>
      <c r="AI67" s="9">
        <v>24790</v>
      </c>
      <c r="AJ67" s="9">
        <v>23960</v>
      </c>
      <c r="AK67" s="9">
        <v>23110</v>
      </c>
      <c r="AL67" s="9">
        <v>22190</v>
      </c>
      <c r="AM67" s="9">
        <v>21170</v>
      </c>
      <c r="AN67" s="9">
        <v>21150</v>
      </c>
      <c r="AO67" s="9">
        <v>20940</v>
      </c>
      <c r="AP67" s="9">
        <v>21590</v>
      </c>
      <c r="AQ67" s="9">
        <v>21580</v>
      </c>
      <c r="AR67" s="9">
        <v>21680</v>
      </c>
      <c r="AS67" s="9">
        <v>22210</v>
      </c>
      <c r="AT67" s="9">
        <v>22690</v>
      </c>
      <c r="AU67" s="9">
        <v>22900</v>
      </c>
      <c r="AV67" s="9">
        <v>23350</v>
      </c>
      <c r="AW67" s="9">
        <v>23590</v>
      </c>
      <c r="AX67" s="9">
        <v>24280</v>
      </c>
      <c r="AY67" s="9">
        <v>25450</v>
      </c>
      <c r="AZ67" s="9">
        <v>25980</v>
      </c>
      <c r="BA67" s="9">
        <v>27210</v>
      </c>
      <c r="BB67" s="9">
        <v>28010</v>
      </c>
      <c r="BC67" s="9">
        <v>27340</v>
      </c>
      <c r="BD67" s="9">
        <v>27340</v>
      </c>
      <c r="BE67" s="9">
        <v>26900</v>
      </c>
      <c r="BF67" s="9">
        <v>26940</v>
      </c>
      <c r="BG67" s="9">
        <v>26530</v>
      </c>
      <c r="BH67" s="9">
        <v>26610</v>
      </c>
      <c r="BI67" s="9">
        <v>26290</v>
      </c>
      <c r="BJ67" s="9">
        <v>25600</v>
      </c>
      <c r="BK67" s="9">
        <v>26290</v>
      </c>
      <c r="BL67" s="9">
        <v>25980</v>
      </c>
      <c r="BM67" s="9">
        <v>25130</v>
      </c>
      <c r="BN67" s="9">
        <v>24900</v>
      </c>
      <c r="BO67" s="9">
        <v>25310</v>
      </c>
    </row>
    <row r="68" spans="3:67" x14ac:dyDescent="0.2">
      <c r="C68" s="3">
        <v>65</v>
      </c>
      <c r="E68" s="9">
        <v>5700</v>
      </c>
      <c r="F68" s="9">
        <v>6250</v>
      </c>
      <c r="G68" s="9">
        <v>6010</v>
      </c>
      <c r="H68" s="9">
        <v>7070</v>
      </c>
      <c r="I68" s="9">
        <v>7880</v>
      </c>
      <c r="J68" s="9">
        <v>8750</v>
      </c>
      <c r="K68" s="9">
        <v>10850</v>
      </c>
      <c r="L68" s="9">
        <v>11250</v>
      </c>
      <c r="M68" s="9">
        <v>11620</v>
      </c>
      <c r="N68" s="9">
        <v>12400</v>
      </c>
      <c r="O68" s="9">
        <v>12780</v>
      </c>
      <c r="P68" s="9">
        <v>13520</v>
      </c>
      <c r="Q68" s="9">
        <v>14160</v>
      </c>
      <c r="R68" s="9">
        <v>15120</v>
      </c>
      <c r="S68" s="9">
        <v>15810</v>
      </c>
      <c r="T68" s="9">
        <v>16640</v>
      </c>
      <c r="U68" s="9">
        <v>17440</v>
      </c>
      <c r="V68" s="9">
        <v>18020</v>
      </c>
      <c r="W68" s="9">
        <v>19180</v>
      </c>
      <c r="X68" s="9">
        <v>19770</v>
      </c>
      <c r="Y68" s="9">
        <v>20980</v>
      </c>
      <c r="Z68" s="9">
        <v>21640</v>
      </c>
      <c r="AA68" s="9">
        <v>22000</v>
      </c>
      <c r="AB68" s="9">
        <v>21730</v>
      </c>
      <c r="AC68" s="9">
        <v>21110</v>
      </c>
      <c r="AD68" s="9">
        <v>21100</v>
      </c>
      <c r="AE68" s="9">
        <v>21570</v>
      </c>
      <c r="AF68" s="9">
        <v>21840</v>
      </c>
      <c r="AG68" s="9">
        <v>22270</v>
      </c>
      <c r="AH68" s="9">
        <v>22290</v>
      </c>
      <c r="AI68" s="9">
        <v>23080</v>
      </c>
      <c r="AJ68" s="9">
        <v>22650</v>
      </c>
      <c r="AK68" s="9">
        <v>21890</v>
      </c>
      <c r="AL68" s="9">
        <v>21120</v>
      </c>
      <c r="AM68" s="9">
        <v>20290</v>
      </c>
      <c r="AN68" s="9">
        <v>19360</v>
      </c>
      <c r="AO68" s="9">
        <v>19340</v>
      </c>
      <c r="AP68" s="9">
        <v>19150</v>
      </c>
      <c r="AQ68" s="9">
        <v>19750</v>
      </c>
      <c r="AR68" s="9">
        <v>19740</v>
      </c>
      <c r="AS68" s="9">
        <v>19830</v>
      </c>
      <c r="AT68" s="9">
        <v>20310</v>
      </c>
      <c r="AU68" s="9">
        <v>20750</v>
      </c>
      <c r="AV68" s="9">
        <v>20950</v>
      </c>
      <c r="AW68" s="9">
        <v>21360</v>
      </c>
      <c r="AX68" s="9">
        <v>21580</v>
      </c>
      <c r="AY68" s="9">
        <v>22210</v>
      </c>
      <c r="AZ68" s="9">
        <v>23280</v>
      </c>
      <c r="BA68" s="9">
        <v>23770</v>
      </c>
      <c r="BB68" s="9">
        <v>24890</v>
      </c>
      <c r="BC68" s="9">
        <v>25620</v>
      </c>
      <c r="BD68" s="9">
        <v>25010</v>
      </c>
      <c r="BE68" s="9">
        <v>25020</v>
      </c>
      <c r="BF68" s="9">
        <v>24620</v>
      </c>
      <c r="BG68" s="9">
        <v>24650</v>
      </c>
      <c r="BH68" s="9">
        <v>24280</v>
      </c>
      <c r="BI68" s="9">
        <v>24350</v>
      </c>
      <c r="BJ68" s="9">
        <v>24060</v>
      </c>
      <c r="BK68" s="9">
        <v>23430</v>
      </c>
      <c r="BL68" s="9">
        <v>24060</v>
      </c>
      <c r="BM68" s="9">
        <v>23780</v>
      </c>
      <c r="BN68" s="9">
        <v>23000</v>
      </c>
      <c r="BO68" s="9">
        <v>22800</v>
      </c>
    </row>
    <row r="69" spans="3:67" x14ac:dyDescent="0.2">
      <c r="C69" s="3">
        <v>66</v>
      </c>
      <c r="E69" s="9">
        <v>4390</v>
      </c>
      <c r="F69" s="9">
        <v>5220</v>
      </c>
      <c r="G69" s="9">
        <v>5740</v>
      </c>
      <c r="H69" s="9">
        <v>5540</v>
      </c>
      <c r="I69" s="9">
        <v>6540</v>
      </c>
      <c r="J69" s="9">
        <v>7290</v>
      </c>
      <c r="K69" s="9">
        <v>8120</v>
      </c>
      <c r="L69" s="9">
        <v>10080</v>
      </c>
      <c r="M69" s="9">
        <v>10540</v>
      </c>
      <c r="N69" s="9">
        <v>10860</v>
      </c>
      <c r="O69" s="9">
        <v>11580</v>
      </c>
      <c r="P69" s="9">
        <v>11920</v>
      </c>
      <c r="Q69" s="9">
        <v>12620</v>
      </c>
      <c r="R69" s="9">
        <v>13220</v>
      </c>
      <c r="S69" s="9">
        <v>14120</v>
      </c>
      <c r="T69" s="9">
        <v>14770</v>
      </c>
      <c r="U69" s="9">
        <v>15540</v>
      </c>
      <c r="V69" s="9">
        <v>16290</v>
      </c>
      <c r="W69" s="9">
        <v>16830</v>
      </c>
      <c r="X69" s="9">
        <v>17920</v>
      </c>
      <c r="Y69" s="9">
        <v>18460</v>
      </c>
      <c r="Z69" s="9">
        <v>19580</v>
      </c>
      <c r="AA69" s="9">
        <v>20190</v>
      </c>
      <c r="AB69" s="9">
        <v>20520</v>
      </c>
      <c r="AC69" s="9">
        <v>20250</v>
      </c>
      <c r="AD69" s="9">
        <v>19670</v>
      </c>
      <c r="AE69" s="9">
        <v>19640</v>
      </c>
      <c r="AF69" s="9">
        <v>20060</v>
      </c>
      <c r="AG69" s="9">
        <v>20300</v>
      </c>
      <c r="AH69" s="9">
        <v>20670</v>
      </c>
      <c r="AI69" s="9">
        <v>20670</v>
      </c>
      <c r="AJ69" s="9">
        <v>21390</v>
      </c>
      <c r="AK69" s="9">
        <v>20990</v>
      </c>
      <c r="AL69" s="9">
        <v>20290</v>
      </c>
      <c r="AM69" s="9">
        <v>19580</v>
      </c>
      <c r="AN69" s="9">
        <v>18810</v>
      </c>
      <c r="AO69" s="9">
        <v>17950</v>
      </c>
      <c r="AP69" s="9">
        <v>17940</v>
      </c>
      <c r="AQ69" s="9">
        <v>17760</v>
      </c>
      <c r="AR69" s="9">
        <v>18320</v>
      </c>
      <c r="AS69" s="9">
        <v>18310</v>
      </c>
      <c r="AT69" s="9">
        <v>18400</v>
      </c>
      <c r="AU69" s="9">
        <v>18850</v>
      </c>
      <c r="AV69" s="9">
        <v>19250</v>
      </c>
      <c r="AW69" s="9">
        <v>19440</v>
      </c>
      <c r="AX69" s="9">
        <v>19820</v>
      </c>
      <c r="AY69" s="9">
        <v>20030</v>
      </c>
      <c r="AZ69" s="9">
        <v>20610</v>
      </c>
      <c r="BA69" s="9">
        <v>21610</v>
      </c>
      <c r="BB69" s="9">
        <v>22060</v>
      </c>
      <c r="BC69" s="9">
        <v>23100</v>
      </c>
      <c r="BD69" s="9">
        <v>23780</v>
      </c>
      <c r="BE69" s="9">
        <v>23220</v>
      </c>
      <c r="BF69" s="9">
        <v>23220</v>
      </c>
      <c r="BG69" s="9">
        <v>22850</v>
      </c>
      <c r="BH69" s="9">
        <v>22880</v>
      </c>
      <c r="BI69" s="9">
        <v>22540</v>
      </c>
      <c r="BJ69" s="9">
        <v>22610</v>
      </c>
      <c r="BK69" s="9">
        <v>22340</v>
      </c>
      <c r="BL69" s="9">
        <v>21760</v>
      </c>
      <c r="BM69" s="9">
        <v>22340</v>
      </c>
      <c r="BN69" s="9">
        <v>22080</v>
      </c>
      <c r="BO69" s="9">
        <v>21360</v>
      </c>
    </row>
    <row r="70" spans="3:67" x14ac:dyDescent="0.2">
      <c r="C70" s="3">
        <v>67</v>
      </c>
      <c r="E70" s="9">
        <v>2970</v>
      </c>
      <c r="F70" s="9">
        <v>3580</v>
      </c>
      <c r="G70" s="9">
        <v>4280</v>
      </c>
      <c r="H70" s="9">
        <v>4750</v>
      </c>
      <c r="I70" s="9">
        <v>4600</v>
      </c>
      <c r="J70" s="9">
        <v>5450</v>
      </c>
      <c r="K70" s="9">
        <v>6100</v>
      </c>
      <c r="L70" s="9">
        <v>6820</v>
      </c>
      <c r="M70" s="9">
        <v>8480</v>
      </c>
      <c r="N70" s="9">
        <v>8910</v>
      </c>
      <c r="O70" s="9">
        <v>9190</v>
      </c>
      <c r="P70" s="9">
        <v>9800</v>
      </c>
      <c r="Q70" s="9">
        <v>10100</v>
      </c>
      <c r="R70" s="9">
        <v>10700</v>
      </c>
      <c r="S70" s="9">
        <v>11220</v>
      </c>
      <c r="T70" s="9">
        <v>11990</v>
      </c>
      <c r="U70" s="9">
        <v>12550</v>
      </c>
      <c r="V70" s="9">
        <v>13210</v>
      </c>
      <c r="W70" s="9">
        <v>13850</v>
      </c>
      <c r="X70" s="9">
        <v>14310</v>
      </c>
      <c r="Y70" s="9">
        <v>15230</v>
      </c>
      <c r="Z70" s="9">
        <v>15680</v>
      </c>
      <c r="AA70" s="9">
        <v>16640</v>
      </c>
      <c r="AB70" s="9">
        <v>17150</v>
      </c>
      <c r="AC70" s="9">
        <v>17420</v>
      </c>
      <c r="AD70" s="9">
        <v>17180</v>
      </c>
      <c r="AE70" s="9">
        <v>16670</v>
      </c>
      <c r="AF70" s="9">
        <v>16640</v>
      </c>
      <c r="AG70" s="9">
        <v>16980</v>
      </c>
      <c r="AH70" s="9">
        <v>17160</v>
      </c>
      <c r="AI70" s="9">
        <v>17460</v>
      </c>
      <c r="AJ70" s="9">
        <v>17450</v>
      </c>
      <c r="AK70" s="9">
        <v>18050</v>
      </c>
      <c r="AL70" s="9">
        <v>17720</v>
      </c>
      <c r="AM70" s="9">
        <v>17130</v>
      </c>
      <c r="AN70" s="9">
        <v>16540</v>
      </c>
      <c r="AO70" s="9">
        <v>15890</v>
      </c>
      <c r="AP70" s="9">
        <v>15160</v>
      </c>
      <c r="AQ70" s="9">
        <v>15150</v>
      </c>
      <c r="AR70" s="9">
        <v>15010</v>
      </c>
      <c r="AS70" s="9">
        <v>15480</v>
      </c>
      <c r="AT70" s="9">
        <v>15480</v>
      </c>
      <c r="AU70" s="9">
        <v>15550</v>
      </c>
      <c r="AV70" s="9">
        <v>15930</v>
      </c>
      <c r="AW70" s="9">
        <v>16270</v>
      </c>
      <c r="AX70" s="9">
        <v>16430</v>
      </c>
      <c r="AY70" s="9">
        <v>16760</v>
      </c>
      <c r="AZ70" s="9">
        <v>16930</v>
      </c>
      <c r="BA70" s="9">
        <v>17420</v>
      </c>
      <c r="BB70" s="9">
        <v>18260</v>
      </c>
      <c r="BC70" s="9">
        <v>18650</v>
      </c>
      <c r="BD70" s="9">
        <v>19530</v>
      </c>
      <c r="BE70" s="9">
        <v>20100</v>
      </c>
      <c r="BF70" s="9">
        <v>19630</v>
      </c>
      <c r="BG70" s="9">
        <v>19630</v>
      </c>
      <c r="BH70" s="9">
        <v>19320</v>
      </c>
      <c r="BI70" s="9">
        <v>19350</v>
      </c>
      <c r="BJ70" s="9">
        <v>19060</v>
      </c>
      <c r="BK70" s="9">
        <v>19120</v>
      </c>
      <c r="BL70" s="9">
        <v>18890</v>
      </c>
      <c r="BM70" s="9">
        <v>18410</v>
      </c>
      <c r="BN70" s="9">
        <v>18900</v>
      </c>
      <c r="BO70" s="9">
        <v>18680</v>
      </c>
    </row>
    <row r="71" spans="3:67" x14ac:dyDescent="0.2">
      <c r="C71" s="3">
        <v>68</v>
      </c>
      <c r="E71" s="9">
        <v>2030</v>
      </c>
      <c r="F71" s="9">
        <v>2440</v>
      </c>
      <c r="G71" s="9">
        <v>2950</v>
      </c>
      <c r="H71" s="9">
        <v>3530</v>
      </c>
      <c r="I71" s="9">
        <v>3920</v>
      </c>
      <c r="J71" s="9">
        <v>3790</v>
      </c>
      <c r="K71" s="9">
        <v>4500</v>
      </c>
      <c r="L71" s="9">
        <v>5040</v>
      </c>
      <c r="M71" s="9">
        <v>5650</v>
      </c>
      <c r="N71" s="9">
        <v>7020</v>
      </c>
      <c r="O71" s="9">
        <v>7370</v>
      </c>
      <c r="P71" s="9">
        <v>7590</v>
      </c>
      <c r="Q71" s="9">
        <v>8100</v>
      </c>
      <c r="R71" s="9">
        <v>8340</v>
      </c>
      <c r="S71" s="9">
        <v>8840</v>
      </c>
      <c r="T71" s="9">
        <v>9270</v>
      </c>
      <c r="U71" s="9">
        <v>9900</v>
      </c>
      <c r="V71" s="9">
        <v>10360</v>
      </c>
      <c r="W71" s="9">
        <v>10900</v>
      </c>
      <c r="X71" s="9">
        <v>11420</v>
      </c>
      <c r="Y71" s="9">
        <v>11790</v>
      </c>
      <c r="Z71" s="9">
        <v>12540</v>
      </c>
      <c r="AA71" s="9">
        <v>12900</v>
      </c>
      <c r="AB71" s="9">
        <v>13670</v>
      </c>
      <c r="AC71" s="9">
        <v>14080</v>
      </c>
      <c r="AD71" s="9">
        <v>14290</v>
      </c>
      <c r="AE71" s="9">
        <v>14090</v>
      </c>
      <c r="AF71" s="9">
        <v>13660</v>
      </c>
      <c r="AG71" s="9">
        <v>13620</v>
      </c>
      <c r="AH71" s="9">
        <v>13880</v>
      </c>
      <c r="AI71" s="9">
        <v>14010</v>
      </c>
      <c r="AJ71" s="9">
        <v>14240</v>
      </c>
      <c r="AK71" s="9">
        <v>14230</v>
      </c>
      <c r="AL71" s="9">
        <v>14730</v>
      </c>
      <c r="AM71" s="9">
        <v>14460</v>
      </c>
      <c r="AN71" s="9">
        <v>13980</v>
      </c>
      <c r="AO71" s="9">
        <v>13500</v>
      </c>
      <c r="AP71" s="9">
        <v>12970</v>
      </c>
      <c r="AQ71" s="9">
        <v>12380</v>
      </c>
      <c r="AR71" s="9">
        <v>12370</v>
      </c>
      <c r="AS71" s="9">
        <v>12250</v>
      </c>
      <c r="AT71" s="9">
        <v>12640</v>
      </c>
      <c r="AU71" s="9">
        <v>12640</v>
      </c>
      <c r="AV71" s="9">
        <v>12700</v>
      </c>
      <c r="AW71" s="9">
        <v>13010</v>
      </c>
      <c r="AX71" s="9">
        <v>13290</v>
      </c>
      <c r="AY71" s="9">
        <v>13420</v>
      </c>
      <c r="AZ71" s="9">
        <v>13690</v>
      </c>
      <c r="BA71" s="9">
        <v>13830</v>
      </c>
      <c r="BB71" s="9">
        <v>14230</v>
      </c>
      <c r="BC71" s="9">
        <v>14920</v>
      </c>
      <c r="BD71" s="9">
        <v>15240</v>
      </c>
      <c r="BE71" s="9">
        <v>15960</v>
      </c>
      <c r="BF71" s="9">
        <v>16430</v>
      </c>
      <c r="BG71" s="9">
        <v>16040</v>
      </c>
      <c r="BH71" s="9">
        <v>16040</v>
      </c>
      <c r="BI71" s="9">
        <v>15790</v>
      </c>
      <c r="BJ71" s="9">
        <v>15820</v>
      </c>
      <c r="BK71" s="9">
        <v>15580</v>
      </c>
      <c r="BL71" s="9">
        <v>15630</v>
      </c>
      <c r="BM71" s="9">
        <v>15440</v>
      </c>
      <c r="BN71" s="9">
        <v>15050</v>
      </c>
      <c r="BO71" s="9">
        <v>15450</v>
      </c>
    </row>
    <row r="72" spans="3:67" x14ac:dyDescent="0.2">
      <c r="C72" s="3">
        <v>69</v>
      </c>
      <c r="E72" s="9">
        <v>1700</v>
      </c>
      <c r="F72" s="9">
        <v>2020</v>
      </c>
      <c r="G72" s="9">
        <v>2400</v>
      </c>
      <c r="H72" s="9">
        <v>2870</v>
      </c>
      <c r="I72" s="9">
        <v>3410</v>
      </c>
      <c r="J72" s="9">
        <v>3760</v>
      </c>
      <c r="K72" s="9">
        <v>3620</v>
      </c>
      <c r="L72" s="9">
        <v>4270</v>
      </c>
      <c r="M72" s="9">
        <v>4810</v>
      </c>
      <c r="N72" s="9">
        <v>5330</v>
      </c>
      <c r="O72" s="9">
        <v>6600</v>
      </c>
      <c r="P72" s="9">
        <v>6910</v>
      </c>
      <c r="Q72" s="9">
        <v>7090</v>
      </c>
      <c r="R72" s="9">
        <v>7550</v>
      </c>
      <c r="S72" s="9">
        <v>7760</v>
      </c>
      <c r="T72" s="9">
        <v>8200</v>
      </c>
      <c r="U72" s="9">
        <v>8590</v>
      </c>
      <c r="V72" s="9">
        <v>9160</v>
      </c>
      <c r="W72" s="9">
        <v>9570</v>
      </c>
      <c r="X72" s="9">
        <v>10050</v>
      </c>
      <c r="Y72" s="9">
        <v>10510</v>
      </c>
      <c r="Z72" s="9">
        <v>10840</v>
      </c>
      <c r="AA72" s="9">
        <v>11510</v>
      </c>
      <c r="AB72" s="9">
        <v>11830</v>
      </c>
      <c r="AC72" s="9">
        <v>12520</v>
      </c>
      <c r="AD72" s="9">
        <v>12880</v>
      </c>
      <c r="AE72" s="9">
        <v>13050</v>
      </c>
      <c r="AF72" s="9">
        <v>12850</v>
      </c>
      <c r="AG72" s="9">
        <v>12440</v>
      </c>
      <c r="AH72" s="9">
        <v>12380</v>
      </c>
      <c r="AI72" s="9">
        <v>12600</v>
      </c>
      <c r="AJ72" s="9">
        <v>12710</v>
      </c>
      <c r="AK72" s="9">
        <v>12920</v>
      </c>
      <c r="AL72" s="9">
        <v>12920</v>
      </c>
      <c r="AM72" s="9">
        <v>13370</v>
      </c>
      <c r="AN72" s="9">
        <v>13130</v>
      </c>
      <c r="AO72" s="9">
        <v>12700</v>
      </c>
      <c r="AP72" s="9">
        <v>12260</v>
      </c>
      <c r="AQ72" s="9">
        <v>11780</v>
      </c>
      <c r="AR72" s="9">
        <v>11250</v>
      </c>
      <c r="AS72" s="9">
        <v>11240</v>
      </c>
      <c r="AT72" s="9">
        <v>11140</v>
      </c>
      <c r="AU72" s="9">
        <v>11490</v>
      </c>
      <c r="AV72" s="9">
        <v>11490</v>
      </c>
      <c r="AW72" s="9">
        <v>11540</v>
      </c>
      <c r="AX72" s="9">
        <v>11830</v>
      </c>
      <c r="AY72" s="9">
        <v>12080</v>
      </c>
      <c r="AZ72" s="9">
        <v>12200</v>
      </c>
      <c r="BA72" s="9">
        <v>12450</v>
      </c>
      <c r="BB72" s="9">
        <v>12580</v>
      </c>
      <c r="BC72" s="9">
        <v>12950</v>
      </c>
      <c r="BD72" s="9">
        <v>13570</v>
      </c>
      <c r="BE72" s="9">
        <v>13860</v>
      </c>
      <c r="BF72" s="9">
        <v>14510</v>
      </c>
      <c r="BG72" s="9">
        <v>14940</v>
      </c>
      <c r="BH72" s="9">
        <v>14590</v>
      </c>
      <c r="BI72" s="9">
        <v>14600</v>
      </c>
      <c r="BJ72" s="9">
        <v>14370</v>
      </c>
      <c r="BK72" s="9">
        <v>14390</v>
      </c>
      <c r="BL72" s="9">
        <v>14180</v>
      </c>
      <c r="BM72" s="9">
        <v>14220</v>
      </c>
      <c r="BN72" s="9">
        <v>14060</v>
      </c>
      <c r="BO72" s="9">
        <v>13700</v>
      </c>
    </row>
    <row r="73" spans="3:67" x14ac:dyDescent="0.2">
      <c r="C73" s="3">
        <v>70</v>
      </c>
      <c r="E73" s="9">
        <v>1400</v>
      </c>
      <c r="F73" s="9">
        <v>1670</v>
      </c>
      <c r="G73" s="9">
        <v>1930</v>
      </c>
      <c r="H73" s="9">
        <v>2220</v>
      </c>
      <c r="I73" s="9">
        <v>2610</v>
      </c>
      <c r="J73" s="9">
        <v>3050</v>
      </c>
      <c r="K73" s="9">
        <v>3310</v>
      </c>
      <c r="L73" s="9">
        <v>3150</v>
      </c>
      <c r="M73" s="9">
        <v>3690</v>
      </c>
      <c r="N73" s="9">
        <v>4120</v>
      </c>
      <c r="O73" s="9">
        <v>4530</v>
      </c>
      <c r="P73" s="9">
        <v>5570</v>
      </c>
      <c r="Q73" s="9">
        <v>5800</v>
      </c>
      <c r="R73" s="9">
        <v>5930</v>
      </c>
      <c r="S73" s="9">
        <v>6290</v>
      </c>
      <c r="T73" s="9">
        <v>6450</v>
      </c>
      <c r="U73" s="9">
        <v>6810</v>
      </c>
      <c r="V73" s="9">
        <v>7120</v>
      </c>
      <c r="W73" s="9">
        <v>7580</v>
      </c>
      <c r="X73" s="9">
        <v>7920</v>
      </c>
      <c r="Y73" s="9">
        <v>8320</v>
      </c>
      <c r="Z73" s="9">
        <v>8710</v>
      </c>
      <c r="AA73" s="9">
        <v>9000</v>
      </c>
      <c r="AB73" s="9">
        <v>9570</v>
      </c>
      <c r="AC73" s="9">
        <v>9870</v>
      </c>
      <c r="AD73" s="9">
        <v>10480</v>
      </c>
      <c r="AE73" s="9">
        <v>10820</v>
      </c>
      <c r="AF73" s="9">
        <v>11020</v>
      </c>
      <c r="AG73" s="9">
        <v>10900</v>
      </c>
      <c r="AH73" s="9">
        <v>10620</v>
      </c>
      <c r="AI73" s="9">
        <v>10650</v>
      </c>
      <c r="AJ73" s="9">
        <v>10920</v>
      </c>
      <c r="AK73" s="9">
        <v>11100</v>
      </c>
      <c r="AL73" s="9">
        <v>11370</v>
      </c>
      <c r="AM73" s="9">
        <v>11440</v>
      </c>
      <c r="AN73" s="9">
        <v>11900</v>
      </c>
      <c r="AO73" s="9">
        <v>11750</v>
      </c>
      <c r="AP73" s="9">
        <v>11420</v>
      </c>
      <c r="AQ73" s="9">
        <v>11070</v>
      </c>
      <c r="AR73" s="9">
        <v>10680</v>
      </c>
      <c r="AS73" s="9">
        <v>10230</v>
      </c>
      <c r="AT73" s="9">
        <v>10260</v>
      </c>
      <c r="AU73" s="9">
        <v>10190</v>
      </c>
      <c r="AV73" s="9">
        <v>10530</v>
      </c>
      <c r="AW73" s="9">
        <v>10550</v>
      </c>
      <c r="AX73" s="9">
        <v>10620</v>
      </c>
      <c r="AY73" s="9">
        <v>10900</v>
      </c>
      <c r="AZ73" s="9">
        <v>11150</v>
      </c>
      <c r="BA73" s="9">
        <v>11260</v>
      </c>
      <c r="BB73" s="9">
        <v>11500</v>
      </c>
      <c r="BC73" s="9">
        <v>11620</v>
      </c>
      <c r="BD73" s="9">
        <v>11970</v>
      </c>
      <c r="BE73" s="9">
        <v>12550</v>
      </c>
      <c r="BF73" s="9">
        <v>12820</v>
      </c>
      <c r="BG73" s="9">
        <v>13420</v>
      </c>
      <c r="BH73" s="9">
        <v>13820</v>
      </c>
      <c r="BI73" s="9">
        <v>13500</v>
      </c>
      <c r="BJ73" s="9">
        <v>13500</v>
      </c>
      <c r="BK73" s="9">
        <v>13290</v>
      </c>
      <c r="BL73" s="9">
        <v>13310</v>
      </c>
      <c r="BM73" s="9">
        <v>13120</v>
      </c>
      <c r="BN73" s="9">
        <v>13160</v>
      </c>
      <c r="BO73" s="9">
        <v>13010</v>
      </c>
    </row>
    <row r="74" spans="3:67" x14ac:dyDescent="0.2">
      <c r="C74" s="3">
        <v>71</v>
      </c>
      <c r="E74" s="9">
        <v>1150</v>
      </c>
      <c r="F74" s="9">
        <v>1390</v>
      </c>
      <c r="G74" s="9">
        <v>1650</v>
      </c>
      <c r="H74" s="9">
        <v>1880</v>
      </c>
      <c r="I74" s="9">
        <v>2160</v>
      </c>
      <c r="J74" s="9">
        <v>2510</v>
      </c>
      <c r="K74" s="9">
        <v>2940</v>
      </c>
      <c r="L74" s="9">
        <v>3180</v>
      </c>
      <c r="M74" s="9">
        <v>3000</v>
      </c>
      <c r="N74" s="9">
        <v>3530</v>
      </c>
      <c r="O74" s="9">
        <v>3930</v>
      </c>
      <c r="P74" s="9">
        <v>4320</v>
      </c>
      <c r="Q74" s="9">
        <v>5300</v>
      </c>
      <c r="R74" s="9">
        <v>5510</v>
      </c>
      <c r="S74" s="9">
        <v>5630</v>
      </c>
      <c r="T74" s="9">
        <v>5960</v>
      </c>
      <c r="U74" s="9">
        <v>6110</v>
      </c>
      <c r="V74" s="9">
        <v>6440</v>
      </c>
      <c r="W74" s="9">
        <v>6720</v>
      </c>
      <c r="X74" s="9">
        <v>7160</v>
      </c>
      <c r="Y74" s="9">
        <v>7470</v>
      </c>
      <c r="Z74" s="9">
        <v>7840</v>
      </c>
      <c r="AA74" s="9">
        <v>8210</v>
      </c>
      <c r="AB74" s="9">
        <v>8470</v>
      </c>
      <c r="AC74" s="9">
        <v>9010</v>
      </c>
      <c r="AD74" s="9">
        <v>9280</v>
      </c>
      <c r="AE74" s="9">
        <v>9850</v>
      </c>
      <c r="AF74" s="9">
        <v>10170</v>
      </c>
      <c r="AG74" s="9">
        <v>10350</v>
      </c>
      <c r="AH74" s="9">
        <v>10240</v>
      </c>
      <c r="AI74" s="9">
        <v>9970</v>
      </c>
      <c r="AJ74" s="9">
        <v>9990</v>
      </c>
      <c r="AK74" s="9">
        <v>10250</v>
      </c>
      <c r="AL74" s="9">
        <v>10410</v>
      </c>
      <c r="AM74" s="9">
        <v>10660</v>
      </c>
      <c r="AN74" s="9">
        <v>10720</v>
      </c>
      <c r="AO74" s="9">
        <v>11150</v>
      </c>
      <c r="AP74" s="9">
        <v>11010</v>
      </c>
      <c r="AQ74" s="9">
        <v>10700</v>
      </c>
      <c r="AR74" s="9">
        <v>10370</v>
      </c>
      <c r="AS74" s="9">
        <v>10000</v>
      </c>
      <c r="AT74" s="9">
        <v>9580</v>
      </c>
      <c r="AU74" s="9">
        <v>9600</v>
      </c>
      <c r="AV74" s="9">
        <v>9530</v>
      </c>
      <c r="AW74" s="9">
        <v>9850</v>
      </c>
      <c r="AX74" s="9">
        <v>9870</v>
      </c>
      <c r="AY74" s="9">
        <v>9930</v>
      </c>
      <c r="AZ74" s="9">
        <v>10190</v>
      </c>
      <c r="BA74" s="9">
        <v>10420</v>
      </c>
      <c r="BB74" s="9">
        <v>10530</v>
      </c>
      <c r="BC74" s="9">
        <v>10750</v>
      </c>
      <c r="BD74" s="9">
        <v>10870</v>
      </c>
      <c r="BE74" s="9">
        <v>11190</v>
      </c>
      <c r="BF74" s="9">
        <v>11730</v>
      </c>
      <c r="BG74" s="9">
        <v>11980</v>
      </c>
      <c r="BH74" s="9">
        <v>12550</v>
      </c>
      <c r="BI74" s="9">
        <v>12920</v>
      </c>
      <c r="BJ74" s="9">
        <v>12620</v>
      </c>
      <c r="BK74" s="9">
        <v>12630</v>
      </c>
      <c r="BL74" s="9">
        <v>12430</v>
      </c>
      <c r="BM74" s="9">
        <v>12450</v>
      </c>
      <c r="BN74" s="9">
        <v>12270</v>
      </c>
      <c r="BO74" s="9">
        <v>12310</v>
      </c>
    </row>
    <row r="75" spans="3:67" x14ac:dyDescent="0.2">
      <c r="C75" s="3">
        <v>72</v>
      </c>
      <c r="E75" s="9">
        <v>980</v>
      </c>
      <c r="F75" s="9">
        <v>1150</v>
      </c>
      <c r="G75" s="9">
        <v>1380</v>
      </c>
      <c r="H75" s="9">
        <v>1620</v>
      </c>
      <c r="I75" s="9">
        <v>1840</v>
      </c>
      <c r="J75" s="9">
        <v>2100</v>
      </c>
      <c r="K75" s="9">
        <v>2430</v>
      </c>
      <c r="L75" s="9">
        <v>2820</v>
      </c>
      <c r="M75" s="9">
        <v>3020</v>
      </c>
      <c r="N75" s="9">
        <v>2880</v>
      </c>
      <c r="O75" s="9">
        <v>3370</v>
      </c>
      <c r="P75" s="9">
        <v>3740</v>
      </c>
      <c r="Q75" s="9">
        <v>4100</v>
      </c>
      <c r="R75" s="9">
        <v>5030</v>
      </c>
      <c r="S75" s="9">
        <v>5220</v>
      </c>
      <c r="T75" s="9">
        <v>5330</v>
      </c>
      <c r="U75" s="9">
        <v>5630</v>
      </c>
      <c r="V75" s="9">
        <v>5770</v>
      </c>
      <c r="W75" s="9">
        <v>6070</v>
      </c>
      <c r="X75" s="9">
        <v>6340</v>
      </c>
      <c r="Y75" s="9">
        <v>6740</v>
      </c>
      <c r="Z75" s="9">
        <v>7030</v>
      </c>
      <c r="AA75" s="9">
        <v>7380</v>
      </c>
      <c r="AB75" s="9">
        <v>7720</v>
      </c>
      <c r="AC75" s="9">
        <v>7960</v>
      </c>
      <c r="AD75" s="9">
        <v>8460</v>
      </c>
      <c r="AE75" s="9">
        <v>8710</v>
      </c>
      <c r="AF75" s="9">
        <v>9240</v>
      </c>
      <c r="AG75" s="9">
        <v>9530</v>
      </c>
      <c r="AH75" s="9">
        <v>9700</v>
      </c>
      <c r="AI75" s="9">
        <v>9590</v>
      </c>
      <c r="AJ75" s="9">
        <v>9340</v>
      </c>
      <c r="AK75" s="9">
        <v>9350</v>
      </c>
      <c r="AL75" s="9">
        <v>9580</v>
      </c>
      <c r="AM75" s="9">
        <v>9740</v>
      </c>
      <c r="AN75" s="9">
        <v>9960</v>
      </c>
      <c r="AO75" s="9">
        <v>10020</v>
      </c>
      <c r="AP75" s="9">
        <v>10420</v>
      </c>
      <c r="AQ75" s="9">
        <v>10280</v>
      </c>
      <c r="AR75" s="9">
        <v>9990</v>
      </c>
      <c r="AS75" s="9">
        <v>9680</v>
      </c>
      <c r="AT75" s="9">
        <v>9340</v>
      </c>
      <c r="AU75" s="9">
        <v>8940</v>
      </c>
      <c r="AV75" s="9">
        <v>8960</v>
      </c>
      <c r="AW75" s="9">
        <v>8900</v>
      </c>
      <c r="AX75" s="9">
        <v>9190</v>
      </c>
      <c r="AY75" s="9">
        <v>9210</v>
      </c>
      <c r="AZ75" s="9">
        <v>9270</v>
      </c>
      <c r="BA75" s="9">
        <v>9500</v>
      </c>
      <c r="BB75" s="9">
        <v>9720</v>
      </c>
      <c r="BC75" s="9">
        <v>9820</v>
      </c>
      <c r="BD75" s="9">
        <v>10020</v>
      </c>
      <c r="BE75" s="9">
        <v>10140</v>
      </c>
      <c r="BF75" s="9">
        <v>10430</v>
      </c>
      <c r="BG75" s="9">
        <v>10940</v>
      </c>
      <c r="BH75" s="9">
        <v>11170</v>
      </c>
      <c r="BI75" s="9">
        <v>11700</v>
      </c>
      <c r="BJ75" s="9">
        <v>12050</v>
      </c>
      <c r="BK75" s="9">
        <v>11770</v>
      </c>
      <c r="BL75" s="9">
        <v>11780</v>
      </c>
      <c r="BM75" s="9">
        <v>11600</v>
      </c>
      <c r="BN75" s="9">
        <v>11620</v>
      </c>
      <c r="BO75" s="9">
        <v>11450</v>
      </c>
    </row>
    <row r="76" spans="3:67" x14ac:dyDescent="0.2">
      <c r="C76" s="3">
        <v>73</v>
      </c>
      <c r="E76" s="9">
        <v>850</v>
      </c>
      <c r="F76" s="9">
        <v>1000</v>
      </c>
      <c r="G76" s="9">
        <v>1150</v>
      </c>
      <c r="H76" s="9">
        <v>1370</v>
      </c>
      <c r="I76" s="9">
        <v>1590</v>
      </c>
      <c r="J76" s="9">
        <v>1790</v>
      </c>
      <c r="K76" s="9">
        <v>2030</v>
      </c>
      <c r="L76" s="9">
        <v>2340</v>
      </c>
      <c r="M76" s="9">
        <v>2680</v>
      </c>
      <c r="N76" s="9">
        <v>2900</v>
      </c>
      <c r="O76" s="9">
        <v>2750</v>
      </c>
      <c r="P76" s="9">
        <v>3210</v>
      </c>
      <c r="Q76" s="9">
        <v>3560</v>
      </c>
      <c r="R76" s="9">
        <v>3890</v>
      </c>
      <c r="S76" s="9">
        <v>4760</v>
      </c>
      <c r="T76" s="9">
        <v>4930</v>
      </c>
      <c r="U76" s="9">
        <v>5030</v>
      </c>
      <c r="V76" s="9">
        <v>5310</v>
      </c>
      <c r="W76" s="9">
        <v>5430</v>
      </c>
      <c r="X76" s="9">
        <v>5710</v>
      </c>
      <c r="Y76" s="9">
        <v>5960</v>
      </c>
      <c r="Z76" s="9">
        <v>6330</v>
      </c>
      <c r="AA76" s="9">
        <v>6600</v>
      </c>
      <c r="AB76" s="9">
        <v>6920</v>
      </c>
      <c r="AC76" s="9">
        <v>7230</v>
      </c>
      <c r="AD76" s="9">
        <v>7450</v>
      </c>
      <c r="AE76" s="9">
        <v>7920</v>
      </c>
      <c r="AF76" s="9">
        <v>8150</v>
      </c>
      <c r="AG76" s="9">
        <v>8640</v>
      </c>
      <c r="AH76" s="9">
        <v>8910</v>
      </c>
      <c r="AI76" s="9">
        <v>9060</v>
      </c>
      <c r="AJ76" s="9">
        <v>8950</v>
      </c>
      <c r="AK76" s="9">
        <v>8710</v>
      </c>
      <c r="AL76" s="9">
        <v>8730</v>
      </c>
      <c r="AM76" s="9">
        <v>8940</v>
      </c>
      <c r="AN76" s="9">
        <v>9080</v>
      </c>
      <c r="AO76" s="9">
        <v>9290</v>
      </c>
      <c r="AP76" s="9">
        <v>9330</v>
      </c>
      <c r="AQ76" s="9">
        <v>9710</v>
      </c>
      <c r="AR76" s="9">
        <v>9580</v>
      </c>
      <c r="AS76" s="9">
        <v>9300</v>
      </c>
      <c r="AT76" s="9">
        <v>9010</v>
      </c>
      <c r="AU76" s="9">
        <v>8690</v>
      </c>
      <c r="AV76" s="9">
        <v>8320</v>
      </c>
      <c r="AW76" s="9">
        <v>8340</v>
      </c>
      <c r="AX76" s="9">
        <v>8280</v>
      </c>
      <c r="AY76" s="9">
        <v>8550</v>
      </c>
      <c r="AZ76" s="9">
        <v>8570</v>
      </c>
      <c r="BA76" s="9">
        <v>8620</v>
      </c>
      <c r="BB76" s="9">
        <v>8840</v>
      </c>
      <c r="BC76" s="9">
        <v>9040</v>
      </c>
      <c r="BD76" s="9">
        <v>9140</v>
      </c>
      <c r="BE76" s="9">
        <v>9320</v>
      </c>
      <c r="BF76" s="9">
        <v>9430</v>
      </c>
      <c r="BG76" s="9">
        <v>9700</v>
      </c>
      <c r="BH76" s="9">
        <v>10180</v>
      </c>
      <c r="BI76" s="9">
        <v>10390</v>
      </c>
      <c r="BJ76" s="9">
        <v>10890</v>
      </c>
      <c r="BK76" s="9">
        <v>11210</v>
      </c>
      <c r="BL76" s="9">
        <v>10950</v>
      </c>
      <c r="BM76" s="9">
        <v>10960</v>
      </c>
      <c r="BN76" s="9">
        <v>10790</v>
      </c>
      <c r="BO76" s="9">
        <v>10810</v>
      </c>
    </row>
    <row r="77" spans="3:67" x14ac:dyDescent="0.2">
      <c r="C77" s="3">
        <v>74</v>
      </c>
      <c r="E77" s="9">
        <v>720</v>
      </c>
      <c r="F77" s="9">
        <v>870</v>
      </c>
      <c r="G77" s="9">
        <v>1000</v>
      </c>
      <c r="H77" s="9">
        <v>1140</v>
      </c>
      <c r="I77" s="9">
        <v>1340</v>
      </c>
      <c r="J77" s="9">
        <v>1550</v>
      </c>
      <c r="K77" s="9">
        <v>1740</v>
      </c>
      <c r="L77" s="9">
        <v>1960</v>
      </c>
      <c r="M77" s="9">
        <v>2230</v>
      </c>
      <c r="N77" s="9">
        <v>2560</v>
      </c>
      <c r="O77" s="9">
        <v>2770</v>
      </c>
      <c r="P77" s="9">
        <v>2610</v>
      </c>
      <c r="Q77" s="9">
        <v>3050</v>
      </c>
      <c r="R77" s="9">
        <v>3370</v>
      </c>
      <c r="S77" s="9">
        <v>3680</v>
      </c>
      <c r="T77" s="9">
        <v>4490</v>
      </c>
      <c r="U77" s="9">
        <v>4640</v>
      </c>
      <c r="V77" s="9">
        <v>4730</v>
      </c>
      <c r="W77" s="9">
        <v>4990</v>
      </c>
      <c r="X77" s="9">
        <v>5100</v>
      </c>
      <c r="Y77" s="9">
        <v>5360</v>
      </c>
      <c r="Z77" s="9">
        <v>5580</v>
      </c>
      <c r="AA77" s="9">
        <v>5920</v>
      </c>
      <c r="AB77" s="9">
        <v>6170</v>
      </c>
      <c r="AC77" s="9">
        <v>6460</v>
      </c>
      <c r="AD77" s="9">
        <v>6750</v>
      </c>
      <c r="AE77" s="9">
        <v>6950</v>
      </c>
      <c r="AF77" s="9">
        <v>7380</v>
      </c>
      <c r="AG77" s="9">
        <v>7590</v>
      </c>
      <c r="AH77" s="9">
        <v>8050</v>
      </c>
      <c r="AI77" s="9">
        <v>8290</v>
      </c>
      <c r="AJ77" s="9">
        <v>8430</v>
      </c>
      <c r="AK77" s="9">
        <v>8330</v>
      </c>
      <c r="AL77" s="9">
        <v>8110</v>
      </c>
      <c r="AM77" s="9">
        <v>8110</v>
      </c>
      <c r="AN77" s="9">
        <v>8310</v>
      </c>
      <c r="AO77" s="9">
        <v>8430</v>
      </c>
      <c r="AP77" s="9">
        <v>8630</v>
      </c>
      <c r="AQ77" s="9">
        <v>8670</v>
      </c>
      <c r="AR77" s="9">
        <v>9010</v>
      </c>
      <c r="AS77" s="9">
        <v>8890</v>
      </c>
      <c r="AT77" s="9">
        <v>8630</v>
      </c>
      <c r="AU77" s="9">
        <v>8360</v>
      </c>
      <c r="AV77" s="9">
        <v>8060</v>
      </c>
      <c r="AW77" s="9">
        <v>7720</v>
      </c>
      <c r="AX77" s="9">
        <v>7740</v>
      </c>
      <c r="AY77" s="9">
        <v>7680</v>
      </c>
      <c r="AZ77" s="9">
        <v>7930</v>
      </c>
      <c r="BA77" s="9">
        <v>7940</v>
      </c>
      <c r="BB77" s="9">
        <v>7990</v>
      </c>
      <c r="BC77" s="9">
        <v>8200</v>
      </c>
      <c r="BD77" s="9">
        <v>8380</v>
      </c>
      <c r="BE77" s="9">
        <v>8470</v>
      </c>
      <c r="BF77" s="9">
        <v>8640</v>
      </c>
      <c r="BG77" s="9">
        <v>8740</v>
      </c>
      <c r="BH77" s="9">
        <v>9000</v>
      </c>
      <c r="BI77" s="9">
        <v>9440</v>
      </c>
      <c r="BJ77" s="9">
        <v>9640</v>
      </c>
      <c r="BK77" s="9">
        <v>10100</v>
      </c>
      <c r="BL77" s="9">
        <v>10400</v>
      </c>
      <c r="BM77" s="9">
        <v>10160</v>
      </c>
      <c r="BN77" s="9">
        <v>10170</v>
      </c>
      <c r="BO77" s="9">
        <v>10020</v>
      </c>
    </row>
    <row r="78" spans="3:67" x14ac:dyDescent="0.2">
      <c r="C78" s="3">
        <v>75</v>
      </c>
      <c r="E78" s="9">
        <v>620</v>
      </c>
      <c r="F78" s="9">
        <v>730</v>
      </c>
      <c r="G78" s="9">
        <v>870</v>
      </c>
      <c r="H78" s="9">
        <v>990</v>
      </c>
      <c r="I78" s="9">
        <v>1120</v>
      </c>
      <c r="J78" s="9">
        <v>1300</v>
      </c>
      <c r="K78" s="9">
        <v>1490</v>
      </c>
      <c r="L78" s="9">
        <v>1670</v>
      </c>
      <c r="M78" s="9">
        <v>1830</v>
      </c>
      <c r="N78" s="9">
        <v>2130</v>
      </c>
      <c r="O78" s="9">
        <v>2430</v>
      </c>
      <c r="P78" s="9">
        <v>2620</v>
      </c>
      <c r="Q78" s="9">
        <v>2470</v>
      </c>
      <c r="R78" s="9">
        <v>2870</v>
      </c>
      <c r="S78" s="9">
        <v>3170</v>
      </c>
      <c r="T78" s="9">
        <v>3450</v>
      </c>
      <c r="U78" s="9">
        <v>4210</v>
      </c>
      <c r="V78" s="9">
        <v>4350</v>
      </c>
      <c r="W78" s="9">
        <v>4420</v>
      </c>
      <c r="X78" s="9">
        <v>4660</v>
      </c>
      <c r="Y78" s="9">
        <v>4760</v>
      </c>
      <c r="Z78" s="9">
        <v>4990</v>
      </c>
      <c r="AA78" s="9">
        <v>5200</v>
      </c>
      <c r="AB78" s="9">
        <v>5520</v>
      </c>
      <c r="AC78" s="9">
        <v>5740</v>
      </c>
      <c r="AD78" s="9">
        <v>6010</v>
      </c>
      <c r="AE78" s="9">
        <v>6270</v>
      </c>
      <c r="AF78" s="9">
        <v>6460</v>
      </c>
      <c r="AG78" s="9">
        <v>6860</v>
      </c>
      <c r="AH78" s="9">
        <v>7050</v>
      </c>
      <c r="AI78" s="9">
        <v>7470</v>
      </c>
      <c r="AJ78" s="9">
        <v>7690</v>
      </c>
      <c r="AK78" s="9">
        <v>7820</v>
      </c>
      <c r="AL78" s="9">
        <v>7720</v>
      </c>
      <c r="AM78" s="9">
        <v>7510</v>
      </c>
      <c r="AN78" s="9">
        <v>7510</v>
      </c>
      <c r="AO78" s="9">
        <v>7690</v>
      </c>
      <c r="AP78" s="9">
        <v>7810</v>
      </c>
      <c r="AQ78" s="9">
        <v>7980</v>
      </c>
      <c r="AR78" s="9">
        <v>8020</v>
      </c>
      <c r="AS78" s="9">
        <v>8340</v>
      </c>
      <c r="AT78" s="9">
        <v>8220</v>
      </c>
      <c r="AU78" s="9">
        <v>7980</v>
      </c>
      <c r="AV78" s="9">
        <v>7730</v>
      </c>
      <c r="AW78" s="9">
        <v>7450</v>
      </c>
      <c r="AX78" s="9">
        <v>7140</v>
      </c>
      <c r="AY78" s="9">
        <v>7150</v>
      </c>
      <c r="AZ78" s="9">
        <v>7100</v>
      </c>
      <c r="BA78" s="9">
        <v>7330</v>
      </c>
      <c r="BB78" s="9">
        <v>7340</v>
      </c>
      <c r="BC78" s="9">
        <v>7390</v>
      </c>
      <c r="BD78" s="9">
        <v>7570</v>
      </c>
      <c r="BE78" s="9">
        <v>7750</v>
      </c>
      <c r="BF78" s="9">
        <v>7830</v>
      </c>
      <c r="BG78" s="9">
        <v>7990</v>
      </c>
      <c r="BH78" s="9">
        <v>8080</v>
      </c>
      <c r="BI78" s="9">
        <v>8320</v>
      </c>
      <c r="BJ78" s="9">
        <v>8730</v>
      </c>
      <c r="BK78" s="9">
        <v>8920</v>
      </c>
      <c r="BL78" s="9">
        <v>9340</v>
      </c>
      <c r="BM78" s="9">
        <v>9620</v>
      </c>
      <c r="BN78" s="9">
        <v>9400</v>
      </c>
      <c r="BO78" s="9">
        <v>9410</v>
      </c>
    </row>
    <row r="79" spans="3:67" x14ac:dyDescent="0.2">
      <c r="C79" s="3">
        <v>76</v>
      </c>
      <c r="E79" s="9">
        <v>510</v>
      </c>
      <c r="F79" s="9">
        <v>640</v>
      </c>
      <c r="G79" s="9">
        <v>740</v>
      </c>
      <c r="H79" s="9">
        <v>870</v>
      </c>
      <c r="I79" s="9">
        <v>980</v>
      </c>
      <c r="J79" s="9">
        <v>1090</v>
      </c>
      <c r="K79" s="9">
        <v>1260</v>
      </c>
      <c r="L79" s="9">
        <v>1430</v>
      </c>
      <c r="M79" s="9">
        <v>1560</v>
      </c>
      <c r="N79" s="9">
        <v>1750</v>
      </c>
      <c r="O79" s="9">
        <v>2020</v>
      </c>
      <c r="P79" s="9">
        <v>2300</v>
      </c>
      <c r="Q79" s="9">
        <v>2470</v>
      </c>
      <c r="R79" s="9">
        <v>2320</v>
      </c>
      <c r="S79" s="9">
        <v>2690</v>
      </c>
      <c r="T79" s="9">
        <v>2960</v>
      </c>
      <c r="U79" s="9">
        <v>3230</v>
      </c>
      <c r="V79" s="9">
        <v>3930</v>
      </c>
      <c r="W79" s="9">
        <v>4050</v>
      </c>
      <c r="X79" s="9">
        <v>4120</v>
      </c>
      <c r="Y79" s="9">
        <v>4340</v>
      </c>
      <c r="Z79" s="9">
        <v>4420</v>
      </c>
      <c r="AA79" s="9">
        <v>4640</v>
      </c>
      <c r="AB79" s="9">
        <v>4820</v>
      </c>
      <c r="AC79" s="9">
        <v>5120</v>
      </c>
      <c r="AD79" s="9">
        <v>5320</v>
      </c>
      <c r="AE79" s="9">
        <v>5570</v>
      </c>
      <c r="AF79" s="9">
        <v>5810</v>
      </c>
      <c r="AG79" s="9">
        <v>5980</v>
      </c>
      <c r="AH79" s="9">
        <v>6340</v>
      </c>
      <c r="AI79" s="9">
        <v>6520</v>
      </c>
      <c r="AJ79" s="9">
        <v>6900</v>
      </c>
      <c r="AK79" s="9">
        <v>7100</v>
      </c>
      <c r="AL79" s="9">
        <v>7220</v>
      </c>
      <c r="AM79" s="9">
        <v>7130</v>
      </c>
      <c r="AN79" s="9">
        <v>6930</v>
      </c>
      <c r="AO79" s="9">
        <v>6930</v>
      </c>
      <c r="AP79" s="9">
        <v>7090</v>
      </c>
      <c r="AQ79" s="9">
        <v>7200</v>
      </c>
      <c r="AR79" s="9">
        <v>7360</v>
      </c>
      <c r="AS79" s="9">
        <v>7390</v>
      </c>
      <c r="AT79" s="9">
        <v>7680</v>
      </c>
      <c r="AU79" s="9">
        <v>7570</v>
      </c>
      <c r="AV79" s="9">
        <v>7350</v>
      </c>
      <c r="AW79" s="9">
        <v>7120</v>
      </c>
      <c r="AX79" s="9">
        <v>6870</v>
      </c>
      <c r="AY79" s="9">
        <v>6570</v>
      </c>
      <c r="AZ79" s="9">
        <v>6580</v>
      </c>
      <c r="BA79" s="9">
        <v>6530</v>
      </c>
      <c r="BB79" s="9">
        <v>6750</v>
      </c>
      <c r="BC79" s="9">
        <v>6760</v>
      </c>
      <c r="BD79" s="9">
        <v>6800</v>
      </c>
      <c r="BE79" s="9">
        <v>6980</v>
      </c>
      <c r="BF79" s="9">
        <v>7130</v>
      </c>
      <c r="BG79" s="9">
        <v>7210</v>
      </c>
      <c r="BH79" s="9">
        <v>7360</v>
      </c>
      <c r="BI79" s="9">
        <v>7440</v>
      </c>
      <c r="BJ79" s="9">
        <v>7670</v>
      </c>
      <c r="BK79" s="9">
        <v>8040</v>
      </c>
      <c r="BL79" s="9">
        <v>8220</v>
      </c>
      <c r="BM79" s="9">
        <v>8610</v>
      </c>
      <c r="BN79" s="9">
        <v>8870</v>
      </c>
      <c r="BO79" s="9">
        <v>8670</v>
      </c>
    </row>
    <row r="80" spans="3:67" x14ac:dyDescent="0.2">
      <c r="C80" s="3">
        <v>77</v>
      </c>
      <c r="E80" s="9">
        <v>420</v>
      </c>
      <c r="F80" s="9">
        <v>560</v>
      </c>
      <c r="G80" s="9">
        <v>670</v>
      </c>
      <c r="H80" s="9">
        <v>760</v>
      </c>
      <c r="I80" s="9">
        <v>870</v>
      </c>
      <c r="J80" s="9">
        <v>960</v>
      </c>
      <c r="K80" s="9">
        <v>1060</v>
      </c>
      <c r="L80" s="9">
        <v>1210</v>
      </c>
      <c r="M80" s="9">
        <v>1340</v>
      </c>
      <c r="N80" s="9">
        <v>1490</v>
      </c>
      <c r="O80" s="9">
        <v>1660</v>
      </c>
      <c r="P80" s="9">
        <v>1910</v>
      </c>
      <c r="Q80" s="9">
        <v>2170</v>
      </c>
      <c r="R80" s="9">
        <v>2320</v>
      </c>
      <c r="S80" s="9">
        <v>2180</v>
      </c>
      <c r="T80" s="9">
        <v>2520</v>
      </c>
      <c r="U80" s="9">
        <v>2770</v>
      </c>
      <c r="V80" s="9">
        <v>3010</v>
      </c>
      <c r="W80" s="9">
        <v>3650</v>
      </c>
      <c r="X80" s="9">
        <v>3770</v>
      </c>
      <c r="Y80" s="9">
        <v>3820</v>
      </c>
      <c r="Z80" s="9">
        <v>4020</v>
      </c>
      <c r="AA80" s="9">
        <v>4100</v>
      </c>
      <c r="AB80" s="9">
        <v>4290</v>
      </c>
      <c r="AC80" s="9">
        <v>4460</v>
      </c>
      <c r="AD80" s="9">
        <v>4730</v>
      </c>
      <c r="AE80" s="9">
        <v>4910</v>
      </c>
      <c r="AF80" s="9">
        <v>5140</v>
      </c>
      <c r="AG80" s="9">
        <v>5360</v>
      </c>
      <c r="AH80" s="9">
        <v>5510</v>
      </c>
      <c r="AI80" s="9">
        <v>5840</v>
      </c>
      <c r="AJ80" s="9">
        <v>6000</v>
      </c>
      <c r="AK80" s="9">
        <v>6350</v>
      </c>
      <c r="AL80" s="9">
        <v>6530</v>
      </c>
      <c r="AM80" s="9">
        <v>6630</v>
      </c>
      <c r="AN80" s="9">
        <v>6550</v>
      </c>
      <c r="AO80" s="9">
        <v>6370</v>
      </c>
      <c r="AP80" s="9">
        <v>6370</v>
      </c>
      <c r="AQ80" s="9">
        <v>6520</v>
      </c>
      <c r="AR80" s="9">
        <v>6610</v>
      </c>
      <c r="AS80" s="9">
        <v>6750</v>
      </c>
      <c r="AT80" s="9">
        <v>6780</v>
      </c>
      <c r="AU80" s="9">
        <v>7050</v>
      </c>
      <c r="AV80" s="9">
        <v>6950</v>
      </c>
      <c r="AW80" s="9">
        <v>6750</v>
      </c>
      <c r="AX80" s="9">
        <v>6530</v>
      </c>
      <c r="AY80" s="9">
        <v>6300</v>
      </c>
      <c r="AZ80" s="9">
        <v>6030</v>
      </c>
      <c r="BA80" s="9">
        <v>6040</v>
      </c>
      <c r="BB80" s="9">
        <v>5990</v>
      </c>
      <c r="BC80" s="9">
        <v>6190</v>
      </c>
      <c r="BD80" s="9">
        <v>6200</v>
      </c>
      <c r="BE80" s="9">
        <v>6240</v>
      </c>
      <c r="BF80" s="9">
        <v>6400</v>
      </c>
      <c r="BG80" s="9">
        <v>6550</v>
      </c>
      <c r="BH80" s="9">
        <v>6620</v>
      </c>
      <c r="BI80" s="9">
        <v>6750</v>
      </c>
      <c r="BJ80" s="9">
        <v>6830</v>
      </c>
      <c r="BK80" s="9">
        <v>7040</v>
      </c>
      <c r="BL80" s="9">
        <v>7380</v>
      </c>
      <c r="BM80" s="9">
        <v>7540</v>
      </c>
      <c r="BN80" s="9">
        <v>7910</v>
      </c>
      <c r="BO80" s="9">
        <v>8150</v>
      </c>
    </row>
    <row r="81" spans="1:67" x14ac:dyDescent="0.2">
      <c r="C81" s="3">
        <v>78</v>
      </c>
      <c r="E81" s="9">
        <v>360</v>
      </c>
      <c r="F81" s="9">
        <v>460</v>
      </c>
      <c r="G81" s="9">
        <v>580</v>
      </c>
      <c r="H81" s="9">
        <v>680</v>
      </c>
      <c r="I81" s="9">
        <v>750</v>
      </c>
      <c r="J81" s="9">
        <v>850</v>
      </c>
      <c r="K81" s="9">
        <v>930</v>
      </c>
      <c r="L81" s="9">
        <v>1020</v>
      </c>
      <c r="M81" s="9">
        <v>1130</v>
      </c>
      <c r="N81" s="9">
        <v>1270</v>
      </c>
      <c r="O81" s="9">
        <v>1410</v>
      </c>
      <c r="P81" s="9">
        <v>1560</v>
      </c>
      <c r="Q81" s="9">
        <v>1790</v>
      </c>
      <c r="R81" s="9">
        <v>2030</v>
      </c>
      <c r="S81" s="9">
        <v>2160</v>
      </c>
      <c r="T81" s="9">
        <v>2030</v>
      </c>
      <c r="U81" s="9">
        <v>2340</v>
      </c>
      <c r="V81" s="9">
        <v>2570</v>
      </c>
      <c r="W81" s="9">
        <v>2790</v>
      </c>
      <c r="X81" s="9">
        <v>3380</v>
      </c>
      <c r="Y81" s="9">
        <v>3480</v>
      </c>
      <c r="Z81" s="9">
        <v>3530</v>
      </c>
      <c r="AA81" s="9">
        <v>3710</v>
      </c>
      <c r="AB81" s="9">
        <v>3770</v>
      </c>
      <c r="AC81" s="9">
        <v>3950</v>
      </c>
      <c r="AD81" s="9">
        <v>4100</v>
      </c>
      <c r="AE81" s="9">
        <v>4340</v>
      </c>
      <c r="AF81" s="9">
        <v>4510</v>
      </c>
      <c r="AG81" s="9">
        <v>4710</v>
      </c>
      <c r="AH81" s="9">
        <v>4910</v>
      </c>
      <c r="AI81" s="9">
        <v>5050</v>
      </c>
      <c r="AJ81" s="9">
        <v>5350</v>
      </c>
      <c r="AK81" s="9">
        <v>5490</v>
      </c>
      <c r="AL81" s="9">
        <v>5810</v>
      </c>
      <c r="AM81" s="9">
        <v>5980</v>
      </c>
      <c r="AN81" s="9">
        <v>6070</v>
      </c>
      <c r="AO81" s="9">
        <v>5990</v>
      </c>
      <c r="AP81" s="9">
        <v>5820</v>
      </c>
      <c r="AQ81" s="9">
        <v>5820</v>
      </c>
      <c r="AR81" s="9">
        <v>5950</v>
      </c>
      <c r="AS81" s="9">
        <v>6040</v>
      </c>
      <c r="AT81" s="9">
        <v>6170</v>
      </c>
      <c r="AU81" s="9">
        <v>6200</v>
      </c>
      <c r="AV81" s="9">
        <v>6440</v>
      </c>
      <c r="AW81" s="9">
        <v>6350</v>
      </c>
      <c r="AX81" s="9">
        <v>6160</v>
      </c>
      <c r="AY81" s="9">
        <v>5970</v>
      </c>
      <c r="AZ81" s="9">
        <v>5750</v>
      </c>
      <c r="BA81" s="9">
        <v>5500</v>
      </c>
      <c r="BB81" s="9">
        <v>5510</v>
      </c>
      <c r="BC81" s="9">
        <v>5470</v>
      </c>
      <c r="BD81" s="9">
        <v>5650</v>
      </c>
      <c r="BE81" s="9">
        <v>5660</v>
      </c>
      <c r="BF81" s="9">
        <v>5700</v>
      </c>
      <c r="BG81" s="9">
        <v>5840</v>
      </c>
      <c r="BH81" s="9">
        <v>5980</v>
      </c>
      <c r="BI81" s="9">
        <v>6050</v>
      </c>
      <c r="BJ81" s="9">
        <v>6170</v>
      </c>
      <c r="BK81" s="9">
        <v>6250</v>
      </c>
      <c r="BL81" s="9">
        <v>6430</v>
      </c>
      <c r="BM81" s="9">
        <v>6750</v>
      </c>
      <c r="BN81" s="9">
        <v>6900</v>
      </c>
      <c r="BO81" s="9">
        <v>7230</v>
      </c>
    </row>
    <row r="82" spans="1:67" x14ac:dyDescent="0.2">
      <c r="C82" s="3">
        <v>79</v>
      </c>
      <c r="E82" s="9">
        <v>290</v>
      </c>
      <c r="F82" s="9">
        <v>390</v>
      </c>
      <c r="G82" s="9">
        <v>480</v>
      </c>
      <c r="H82" s="9">
        <v>590</v>
      </c>
      <c r="I82" s="9">
        <v>680</v>
      </c>
      <c r="J82" s="9">
        <v>740</v>
      </c>
      <c r="K82" s="9">
        <v>820</v>
      </c>
      <c r="L82" s="9">
        <v>890</v>
      </c>
      <c r="M82" s="9">
        <v>940</v>
      </c>
      <c r="N82" s="9">
        <v>1060</v>
      </c>
      <c r="O82" s="9">
        <v>1200</v>
      </c>
      <c r="P82" s="9">
        <v>1320</v>
      </c>
      <c r="Q82" s="9">
        <v>1460</v>
      </c>
      <c r="R82" s="9">
        <v>1660</v>
      </c>
      <c r="S82" s="9">
        <v>1880</v>
      </c>
      <c r="T82" s="9">
        <v>2000</v>
      </c>
      <c r="U82" s="9">
        <v>1870</v>
      </c>
      <c r="V82" s="9">
        <v>2160</v>
      </c>
      <c r="W82" s="9">
        <v>2360</v>
      </c>
      <c r="X82" s="9">
        <v>2560</v>
      </c>
      <c r="Y82" s="9">
        <v>3100</v>
      </c>
      <c r="Z82" s="9">
        <v>3190</v>
      </c>
      <c r="AA82" s="9">
        <v>3230</v>
      </c>
      <c r="AB82" s="9">
        <v>3390</v>
      </c>
      <c r="AC82" s="9">
        <v>3450</v>
      </c>
      <c r="AD82" s="9">
        <v>3610</v>
      </c>
      <c r="AE82" s="9">
        <v>3750</v>
      </c>
      <c r="AF82" s="9">
        <v>3960</v>
      </c>
      <c r="AG82" s="9">
        <v>4110</v>
      </c>
      <c r="AH82" s="9">
        <v>4300</v>
      </c>
      <c r="AI82" s="9">
        <v>4480</v>
      </c>
      <c r="AJ82" s="9">
        <v>4600</v>
      </c>
      <c r="AK82" s="9">
        <v>4870</v>
      </c>
      <c r="AL82" s="9">
        <v>5000</v>
      </c>
      <c r="AM82" s="9">
        <v>5290</v>
      </c>
      <c r="AN82" s="9">
        <v>5440</v>
      </c>
      <c r="AO82" s="9">
        <v>5520</v>
      </c>
      <c r="AP82" s="9">
        <v>5450</v>
      </c>
      <c r="AQ82" s="9">
        <v>5290</v>
      </c>
      <c r="AR82" s="9">
        <v>5290</v>
      </c>
      <c r="AS82" s="9">
        <v>5410</v>
      </c>
      <c r="AT82" s="9">
        <v>5490</v>
      </c>
      <c r="AU82" s="9">
        <v>5610</v>
      </c>
      <c r="AV82" s="9">
        <v>5630</v>
      </c>
      <c r="AW82" s="9">
        <v>5850</v>
      </c>
      <c r="AX82" s="9">
        <v>5760</v>
      </c>
      <c r="AY82" s="9">
        <v>5600</v>
      </c>
      <c r="AZ82" s="9">
        <v>5420</v>
      </c>
      <c r="BA82" s="9">
        <v>5220</v>
      </c>
      <c r="BB82" s="9">
        <v>5000</v>
      </c>
      <c r="BC82" s="9">
        <v>5010</v>
      </c>
      <c r="BD82" s="9">
        <v>4970</v>
      </c>
      <c r="BE82" s="9">
        <v>5140</v>
      </c>
      <c r="BF82" s="9">
        <v>5150</v>
      </c>
      <c r="BG82" s="9">
        <v>5180</v>
      </c>
      <c r="BH82" s="9">
        <v>5310</v>
      </c>
      <c r="BI82" s="9">
        <v>5440</v>
      </c>
      <c r="BJ82" s="9">
        <v>5500</v>
      </c>
      <c r="BK82" s="9">
        <v>5620</v>
      </c>
      <c r="BL82" s="9">
        <v>5680</v>
      </c>
      <c r="BM82" s="9">
        <v>5860</v>
      </c>
      <c r="BN82" s="9">
        <v>6140</v>
      </c>
      <c r="BO82" s="9">
        <v>6280</v>
      </c>
    </row>
    <row r="83" spans="1:67" x14ac:dyDescent="0.2">
      <c r="C83" s="3" t="s">
        <v>110</v>
      </c>
      <c r="E83" s="9">
        <v>1020</v>
      </c>
      <c r="F83" s="9">
        <v>1490</v>
      </c>
      <c r="G83" s="9">
        <v>1960</v>
      </c>
      <c r="H83" s="9">
        <v>2420</v>
      </c>
      <c r="I83" s="9">
        <v>2900</v>
      </c>
      <c r="J83" s="9">
        <v>3370</v>
      </c>
      <c r="K83" s="9">
        <v>3790</v>
      </c>
      <c r="L83" s="9">
        <v>4210</v>
      </c>
      <c r="M83" s="9">
        <v>4500</v>
      </c>
      <c r="N83" s="9">
        <v>4900</v>
      </c>
      <c r="O83" s="9">
        <v>5400</v>
      </c>
      <c r="P83" s="9">
        <v>5800</v>
      </c>
      <c r="Q83" s="9">
        <v>6400</v>
      </c>
      <c r="R83" s="9">
        <v>6900</v>
      </c>
      <c r="S83" s="9">
        <v>7600</v>
      </c>
      <c r="T83" s="9">
        <v>8300</v>
      </c>
      <c r="U83" s="9">
        <v>9100</v>
      </c>
      <c r="V83" s="9">
        <v>9600</v>
      </c>
      <c r="W83" s="9">
        <v>10300</v>
      </c>
      <c r="X83" s="9">
        <v>11100</v>
      </c>
      <c r="Y83" s="9">
        <v>12000</v>
      </c>
      <c r="Z83" s="9">
        <v>13200</v>
      </c>
      <c r="AA83" s="9">
        <v>14300</v>
      </c>
      <c r="AB83" s="9">
        <v>15300</v>
      </c>
      <c r="AC83" s="9">
        <v>16300</v>
      </c>
      <c r="AD83" s="9">
        <v>17200</v>
      </c>
      <c r="AE83" s="9">
        <v>18100</v>
      </c>
      <c r="AF83" s="9">
        <v>19000</v>
      </c>
      <c r="AG83" s="9">
        <v>20000</v>
      </c>
      <c r="AH83" s="9">
        <v>20900</v>
      </c>
      <c r="AI83" s="9">
        <v>21800</v>
      </c>
      <c r="AJ83" s="9">
        <v>22800</v>
      </c>
      <c r="AK83" s="9">
        <v>23700</v>
      </c>
      <c r="AL83" s="9">
        <v>24700</v>
      </c>
      <c r="AM83" s="9">
        <v>25700</v>
      </c>
      <c r="AN83" s="9">
        <v>26800</v>
      </c>
      <c r="AO83" s="9">
        <v>27900</v>
      </c>
      <c r="AP83" s="9">
        <v>28900</v>
      </c>
      <c r="AQ83" s="9">
        <v>29700</v>
      </c>
      <c r="AR83" s="9">
        <v>30200</v>
      </c>
      <c r="AS83" s="9">
        <v>30600</v>
      </c>
      <c r="AT83" s="9">
        <v>31000</v>
      </c>
      <c r="AU83" s="9">
        <v>31500</v>
      </c>
      <c r="AV83" s="9">
        <v>31900</v>
      </c>
      <c r="AW83" s="9">
        <v>32300</v>
      </c>
      <c r="AX83" s="9">
        <v>32800</v>
      </c>
      <c r="AY83" s="9">
        <v>33200</v>
      </c>
      <c r="AZ83" s="9">
        <v>33400</v>
      </c>
      <c r="BA83" s="9">
        <v>33400</v>
      </c>
      <c r="BB83" s="9">
        <v>33200</v>
      </c>
      <c r="BC83" s="9">
        <v>32800</v>
      </c>
      <c r="BD83" s="9">
        <v>32400</v>
      </c>
      <c r="BE83" s="9">
        <v>32100</v>
      </c>
      <c r="BF83" s="9">
        <v>31900</v>
      </c>
      <c r="BG83" s="9">
        <v>31800</v>
      </c>
      <c r="BH83" s="9">
        <v>31700</v>
      </c>
      <c r="BI83" s="9">
        <v>31800</v>
      </c>
      <c r="BJ83" s="9">
        <v>32000</v>
      </c>
      <c r="BK83" s="9">
        <v>32300</v>
      </c>
      <c r="BL83" s="9">
        <v>32700</v>
      </c>
      <c r="BM83" s="9">
        <v>33100</v>
      </c>
      <c r="BN83" s="9">
        <v>33600</v>
      </c>
      <c r="BO83" s="9">
        <v>34300</v>
      </c>
    </row>
    <row r="84" spans="1:67" x14ac:dyDescent="0.2">
      <c r="C84" s="2" t="s">
        <v>101</v>
      </c>
      <c r="E84" s="10">
        <f t="shared" ref="E84:AJ84" si="7">SUM(E$18:E$83)</f>
        <v>1042020</v>
      </c>
      <c r="F84" s="10">
        <f t="shared" si="7"/>
        <v>1060870</v>
      </c>
      <c r="G84" s="10">
        <f t="shared" si="7"/>
        <v>1077540</v>
      </c>
      <c r="H84" s="10">
        <f t="shared" si="7"/>
        <v>1086630</v>
      </c>
      <c r="I84" s="10">
        <f t="shared" si="7"/>
        <v>1100490</v>
      </c>
      <c r="J84" s="10">
        <f t="shared" si="7"/>
        <v>1113540</v>
      </c>
      <c r="K84" s="10">
        <f t="shared" si="7"/>
        <v>1126710</v>
      </c>
      <c r="L84" s="10">
        <f t="shared" si="7"/>
        <v>1140360</v>
      </c>
      <c r="M84" s="10">
        <f t="shared" si="7"/>
        <v>1161080</v>
      </c>
      <c r="N84" s="10">
        <f t="shared" si="7"/>
        <v>1188150</v>
      </c>
      <c r="O84" s="10">
        <f t="shared" si="7"/>
        <v>1210430</v>
      </c>
      <c r="P84" s="10">
        <f t="shared" si="7"/>
        <v>1226080</v>
      </c>
      <c r="Q84" s="10">
        <f t="shared" si="7"/>
        <v>1240910</v>
      </c>
      <c r="R84" s="10">
        <f t="shared" si="7"/>
        <v>1254700</v>
      </c>
      <c r="S84" s="10">
        <f t="shared" si="7"/>
        <v>1267700</v>
      </c>
      <c r="T84" s="10">
        <f t="shared" si="7"/>
        <v>1279830</v>
      </c>
      <c r="U84" s="10">
        <f t="shared" si="7"/>
        <v>1291710</v>
      </c>
      <c r="V84" s="10">
        <f t="shared" si="7"/>
        <v>1303580</v>
      </c>
      <c r="W84" s="10">
        <f t="shared" si="7"/>
        <v>1314940</v>
      </c>
      <c r="X84" s="10">
        <f t="shared" si="7"/>
        <v>1326130</v>
      </c>
      <c r="Y84" s="10">
        <f t="shared" si="7"/>
        <v>1336620</v>
      </c>
      <c r="Z84" s="10">
        <f t="shared" si="7"/>
        <v>1346250</v>
      </c>
      <c r="AA84" s="10">
        <f t="shared" si="7"/>
        <v>1354970</v>
      </c>
      <c r="AB84" s="10">
        <f t="shared" si="7"/>
        <v>1362690</v>
      </c>
      <c r="AC84" s="10">
        <f t="shared" si="7"/>
        <v>1369660</v>
      </c>
      <c r="AD84" s="10">
        <f t="shared" si="7"/>
        <v>1376040</v>
      </c>
      <c r="AE84" s="10">
        <f t="shared" si="7"/>
        <v>1382060</v>
      </c>
      <c r="AF84" s="10">
        <f t="shared" si="7"/>
        <v>1387860</v>
      </c>
      <c r="AG84" s="10">
        <f t="shared" si="7"/>
        <v>1393370</v>
      </c>
      <c r="AH84" s="10">
        <f t="shared" si="7"/>
        <v>1398340</v>
      </c>
      <c r="AI84" s="10">
        <f t="shared" si="7"/>
        <v>1402920</v>
      </c>
      <c r="AJ84" s="10">
        <f t="shared" si="7"/>
        <v>1407350</v>
      </c>
      <c r="AK84" s="10">
        <f t="shared" ref="AK84:BO84" si="8">SUM(AK$18:AK$83)</f>
        <v>1411770</v>
      </c>
      <c r="AL84" s="10">
        <f t="shared" si="8"/>
        <v>1416200</v>
      </c>
      <c r="AM84" s="10">
        <f t="shared" si="8"/>
        <v>1420930</v>
      </c>
      <c r="AN84" s="10">
        <f t="shared" si="8"/>
        <v>1425850</v>
      </c>
      <c r="AO84" s="10">
        <f t="shared" si="8"/>
        <v>1431100</v>
      </c>
      <c r="AP84" s="10">
        <f t="shared" si="8"/>
        <v>1436560</v>
      </c>
      <c r="AQ84" s="10">
        <f t="shared" si="8"/>
        <v>1442120</v>
      </c>
      <c r="AR84" s="10">
        <f t="shared" si="8"/>
        <v>1447650</v>
      </c>
      <c r="AS84" s="10">
        <f t="shared" si="8"/>
        <v>1453120</v>
      </c>
      <c r="AT84" s="10">
        <f t="shared" si="8"/>
        <v>1458420</v>
      </c>
      <c r="AU84" s="10">
        <f t="shared" si="8"/>
        <v>1463640</v>
      </c>
      <c r="AV84" s="10">
        <f t="shared" si="8"/>
        <v>1468530</v>
      </c>
      <c r="AW84" s="10">
        <f t="shared" si="8"/>
        <v>1473160</v>
      </c>
      <c r="AX84" s="10">
        <f t="shared" si="8"/>
        <v>1477520</v>
      </c>
      <c r="AY84" s="10">
        <f t="shared" si="8"/>
        <v>1481480</v>
      </c>
      <c r="AZ84" s="10">
        <f t="shared" si="8"/>
        <v>1485100</v>
      </c>
      <c r="BA84" s="10">
        <f t="shared" si="8"/>
        <v>1488250</v>
      </c>
      <c r="BB84" s="10">
        <f t="shared" si="8"/>
        <v>1491050</v>
      </c>
      <c r="BC84" s="10">
        <f t="shared" si="8"/>
        <v>1493380</v>
      </c>
      <c r="BD84" s="10">
        <f t="shared" si="8"/>
        <v>1495400</v>
      </c>
      <c r="BE84" s="10">
        <f t="shared" si="8"/>
        <v>1497240</v>
      </c>
      <c r="BF84" s="10">
        <f t="shared" si="8"/>
        <v>1498930</v>
      </c>
      <c r="BG84" s="10">
        <f t="shared" si="8"/>
        <v>1500670</v>
      </c>
      <c r="BH84" s="10">
        <f t="shared" si="8"/>
        <v>1502450</v>
      </c>
      <c r="BI84" s="10">
        <f t="shared" si="8"/>
        <v>1504300</v>
      </c>
      <c r="BJ84" s="10">
        <f t="shared" si="8"/>
        <v>1506170</v>
      </c>
      <c r="BK84" s="10">
        <f t="shared" si="8"/>
        <v>1508190</v>
      </c>
      <c r="BL84" s="10">
        <f t="shared" si="8"/>
        <v>1510230</v>
      </c>
      <c r="BM84" s="10">
        <f t="shared" si="8"/>
        <v>1512300</v>
      </c>
      <c r="BN84" s="10">
        <f t="shared" si="8"/>
        <v>1514400</v>
      </c>
      <c r="BO84" s="10">
        <f t="shared" si="8"/>
        <v>1516460</v>
      </c>
    </row>
    <row r="86" spans="1:67" x14ac:dyDescent="0.2">
      <c r="A86" s="2" t="s">
        <v>103</v>
      </c>
      <c r="C86" s="2" t="s">
        <v>99</v>
      </c>
    </row>
    <row r="87" spans="1:67" x14ac:dyDescent="0.2">
      <c r="C87" s="3">
        <v>15</v>
      </c>
      <c r="E87" s="9">
        <v>11240</v>
      </c>
      <c r="F87" s="9">
        <v>11020</v>
      </c>
      <c r="G87" s="9">
        <v>10890</v>
      </c>
      <c r="H87" s="9">
        <v>8520</v>
      </c>
      <c r="I87" s="9">
        <v>7210</v>
      </c>
      <c r="J87" s="9">
        <v>6590</v>
      </c>
      <c r="K87" s="9">
        <v>6320</v>
      </c>
      <c r="L87" s="9">
        <v>6380</v>
      </c>
      <c r="M87" s="9">
        <v>6740</v>
      </c>
      <c r="N87" s="9">
        <v>7120</v>
      </c>
      <c r="O87" s="9">
        <v>7210</v>
      </c>
      <c r="P87" s="9">
        <v>7060</v>
      </c>
      <c r="Q87" s="9">
        <v>7270</v>
      </c>
      <c r="R87" s="9">
        <v>7520</v>
      </c>
      <c r="S87" s="9">
        <v>7530</v>
      </c>
      <c r="T87" s="9">
        <v>7670</v>
      </c>
      <c r="U87" s="9">
        <v>8060</v>
      </c>
      <c r="V87" s="9">
        <v>8370</v>
      </c>
      <c r="W87" s="9">
        <v>8420</v>
      </c>
      <c r="X87" s="9">
        <v>8440</v>
      </c>
      <c r="Y87" s="9">
        <v>8210</v>
      </c>
      <c r="Z87" s="9">
        <v>8070</v>
      </c>
      <c r="AA87" s="9">
        <v>7930</v>
      </c>
      <c r="AB87" s="9">
        <v>7740</v>
      </c>
      <c r="AC87" s="9">
        <v>7610</v>
      </c>
      <c r="AD87" s="9">
        <v>7710</v>
      </c>
      <c r="AE87" s="9">
        <v>7790</v>
      </c>
      <c r="AF87" s="9">
        <v>7860</v>
      </c>
      <c r="AG87" s="9">
        <v>7930</v>
      </c>
      <c r="AH87" s="9">
        <v>8000</v>
      </c>
      <c r="AI87" s="9">
        <v>8060</v>
      </c>
      <c r="AJ87" s="9">
        <v>8110</v>
      </c>
      <c r="AK87" s="9">
        <v>8150</v>
      </c>
      <c r="AL87" s="9">
        <v>8190</v>
      </c>
      <c r="AM87" s="9">
        <v>8220</v>
      </c>
      <c r="AN87" s="9">
        <v>8230</v>
      </c>
      <c r="AO87" s="9">
        <v>8240</v>
      </c>
      <c r="AP87" s="9">
        <v>8250</v>
      </c>
      <c r="AQ87" s="9">
        <v>8240</v>
      </c>
      <c r="AR87" s="9">
        <v>8230</v>
      </c>
      <c r="AS87" s="9">
        <v>8210</v>
      </c>
      <c r="AT87" s="9">
        <v>8190</v>
      </c>
      <c r="AU87" s="9">
        <v>8160</v>
      </c>
      <c r="AV87" s="9">
        <v>8150</v>
      </c>
      <c r="AW87" s="9">
        <v>8130</v>
      </c>
      <c r="AX87" s="9">
        <v>8120</v>
      </c>
      <c r="AY87" s="9">
        <v>8120</v>
      </c>
      <c r="AZ87" s="9">
        <v>8130</v>
      </c>
      <c r="BA87" s="9">
        <v>8140</v>
      </c>
      <c r="BB87" s="9">
        <v>8150</v>
      </c>
      <c r="BC87" s="9">
        <v>8160</v>
      </c>
      <c r="BD87" s="9">
        <v>8170</v>
      </c>
      <c r="BE87" s="9">
        <v>8180</v>
      </c>
      <c r="BF87" s="9">
        <v>8190</v>
      </c>
      <c r="BG87" s="9">
        <v>8190</v>
      </c>
      <c r="BH87" s="9">
        <v>8200</v>
      </c>
      <c r="BI87" s="9">
        <v>8200</v>
      </c>
      <c r="BJ87" s="9">
        <v>8200</v>
      </c>
      <c r="BK87" s="9">
        <v>8210</v>
      </c>
      <c r="BL87" s="9">
        <v>8220</v>
      </c>
      <c r="BM87" s="9">
        <v>8230</v>
      </c>
      <c r="BN87" s="9">
        <v>8240</v>
      </c>
      <c r="BO87" s="9">
        <v>8260</v>
      </c>
    </row>
    <row r="88" spans="1:67" x14ac:dyDescent="0.2">
      <c r="C88" s="3">
        <v>16</v>
      </c>
      <c r="E88" s="9">
        <v>15520</v>
      </c>
      <c r="F88" s="9">
        <v>16060</v>
      </c>
      <c r="G88" s="9">
        <v>15720</v>
      </c>
      <c r="H88" s="9">
        <v>12820</v>
      </c>
      <c r="I88" s="9">
        <v>10930</v>
      </c>
      <c r="J88" s="9">
        <v>10260</v>
      </c>
      <c r="K88" s="9">
        <v>10100</v>
      </c>
      <c r="L88" s="9">
        <v>9790</v>
      </c>
      <c r="M88" s="9">
        <v>10610</v>
      </c>
      <c r="N88" s="9">
        <v>10830</v>
      </c>
      <c r="O88" s="9">
        <v>11680</v>
      </c>
      <c r="P88" s="9">
        <v>11820</v>
      </c>
      <c r="Q88" s="9">
        <v>11550</v>
      </c>
      <c r="R88" s="9">
        <v>11870</v>
      </c>
      <c r="S88" s="9">
        <v>12220</v>
      </c>
      <c r="T88" s="9">
        <v>12170</v>
      </c>
      <c r="U88" s="9">
        <v>12360</v>
      </c>
      <c r="V88" s="9">
        <v>12980</v>
      </c>
      <c r="W88" s="9">
        <v>13480</v>
      </c>
      <c r="X88" s="9">
        <v>13560</v>
      </c>
      <c r="Y88" s="9">
        <v>13590</v>
      </c>
      <c r="Z88" s="9">
        <v>13220</v>
      </c>
      <c r="AA88" s="9">
        <v>13000</v>
      </c>
      <c r="AB88" s="9">
        <v>12780</v>
      </c>
      <c r="AC88" s="9">
        <v>12470</v>
      </c>
      <c r="AD88" s="9">
        <v>12260</v>
      </c>
      <c r="AE88" s="9">
        <v>12420</v>
      </c>
      <c r="AF88" s="9">
        <v>12550</v>
      </c>
      <c r="AG88" s="9">
        <v>12660</v>
      </c>
      <c r="AH88" s="9">
        <v>12780</v>
      </c>
      <c r="AI88" s="9">
        <v>12880</v>
      </c>
      <c r="AJ88" s="9">
        <v>12980</v>
      </c>
      <c r="AK88" s="9">
        <v>13060</v>
      </c>
      <c r="AL88" s="9">
        <v>13130</v>
      </c>
      <c r="AM88" s="9">
        <v>13190</v>
      </c>
      <c r="AN88" s="9">
        <v>13230</v>
      </c>
      <c r="AO88" s="9">
        <v>13260</v>
      </c>
      <c r="AP88" s="9">
        <v>13280</v>
      </c>
      <c r="AQ88" s="9">
        <v>13280</v>
      </c>
      <c r="AR88" s="9">
        <v>13270</v>
      </c>
      <c r="AS88" s="9">
        <v>13250</v>
      </c>
      <c r="AT88" s="9">
        <v>13220</v>
      </c>
      <c r="AU88" s="9">
        <v>13180</v>
      </c>
      <c r="AV88" s="9">
        <v>13150</v>
      </c>
      <c r="AW88" s="9">
        <v>13120</v>
      </c>
      <c r="AX88" s="9">
        <v>13100</v>
      </c>
      <c r="AY88" s="9">
        <v>13090</v>
      </c>
      <c r="AZ88" s="9">
        <v>13090</v>
      </c>
      <c r="BA88" s="9">
        <v>13090</v>
      </c>
      <c r="BB88" s="9">
        <v>13110</v>
      </c>
      <c r="BC88" s="9">
        <v>13120</v>
      </c>
      <c r="BD88" s="9">
        <v>13140</v>
      </c>
      <c r="BE88" s="9">
        <v>13160</v>
      </c>
      <c r="BF88" s="9">
        <v>13180</v>
      </c>
      <c r="BG88" s="9">
        <v>13190</v>
      </c>
      <c r="BH88" s="9">
        <v>13200</v>
      </c>
      <c r="BI88" s="9">
        <v>13200</v>
      </c>
      <c r="BJ88" s="9">
        <v>13210</v>
      </c>
      <c r="BK88" s="9">
        <v>13210</v>
      </c>
      <c r="BL88" s="9">
        <v>13220</v>
      </c>
      <c r="BM88" s="9">
        <v>13230</v>
      </c>
      <c r="BN88" s="9">
        <v>13250</v>
      </c>
      <c r="BO88" s="9">
        <v>13270</v>
      </c>
    </row>
    <row r="89" spans="1:67" x14ac:dyDescent="0.2">
      <c r="C89" s="3">
        <v>17</v>
      </c>
      <c r="E89" s="9">
        <v>18690</v>
      </c>
      <c r="F89" s="9">
        <v>19260</v>
      </c>
      <c r="G89" s="9">
        <v>19960</v>
      </c>
      <c r="H89" s="9">
        <v>17420</v>
      </c>
      <c r="I89" s="9">
        <v>16040</v>
      </c>
      <c r="J89" s="9">
        <v>15200</v>
      </c>
      <c r="K89" s="9">
        <v>15150</v>
      </c>
      <c r="L89" s="9">
        <v>14950</v>
      </c>
      <c r="M89" s="9">
        <v>15310</v>
      </c>
      <c r="N89" s="9">
        <v>15660</v>
      </c>
      <c r="O89" s="9">
        <v>15780</v>
      </c>
      <c r="P89" s="9">
        <v>16450</v>
      </c>
      <c r="Q89" s="9">
        <v>16230</v>
      </c>
      <c r="R89" s="9">
        <v>15570</v>
      </c>
      <c r="S89" s="9">
        <v>15770</v>
      </c>
      <c r="T89" s="9">
        <v>16070</v>
      </c>
      <c r="U89" s="9">
        <v>15930</v>
      </c>
      <c r="V89" s="9">
        <v>16170</v>
      </c>
      <c r="W89" s="9">
        <v>16980</v>
      </c>
      <c r="X89" s="9">
        <v>17630</v>
      </c>
      <c r="Y89" s="9">
        <v>17740</v>
      </c>
      <c r="Z89" s="9">
        <v>17780</v>
      </c>
      <c r="AA89" s="9">
        <v>17290</v>
      </c>
      <c r="AB89" s="9">
        <v>17000</v>
      </c>
      <c r="AC89" s="9">
        <v>16720</v>
      </c>
      <c r="AD89" s="9">
        <v>16310</v>
      </c>
      <c r="AE89" s="9">
        <v>16050</v>
      </c>
      <c r="AF89" s="9">
        <v>16250</v>
      </c>
      <c r="AG89" s="9">
        <v>16420</v>
      </c>
      <c r="AH89" s="9">
        <v>16570</v>
      </c>
      <c r="AI89" s="9">
        <v>16720</v>
      </c>
      <c r="AJ89" s="9">
        <v>16860</v>
      </c>
      <c r="AK89" s="9">
        <v>16980</v>
      </c>
      <c r="AL89" s="9">
        <v>17090</v>
      </c>
      <c r="AM89" s="9">
        <v>17180</v>
      </c>
      <c r="AN89" s="9">
        <v>17260</v>
      </c>
      <c r="AO89" s="9">
        <v>17310</v>
      </c>
      <c r="AP89" s="9">
        <v>17350</v>
      </c>
      <c r="AQ89" s="9">
        <v>17370</v>
      </c>
      <c r="AR89" s="9">
        <v>17370</v>
      </c>
      <c r="AS89" s="9">
        <v>17360</v>
      </c>
      <c r="AT89" s="9">
        <v>17330</v>
      </c>
      <c r="AU89" s="9">
        <v>17290</v>
      </c>
      <c r="AV89" s="9">
        <v>17250</v>
      </c>
      <c r="AW89" s="9">
        <v>17200</v>
      </c>
      <c r="AX89" s="9">
        <v>17170</v>
      </c>
      <c r="AY89" s="9">
        <v>17140</v>
      </c>
      <c r="AZ89" s="9">
        <v>17120</v>
      </c>
      <c r="BA89" s="9">
        <v>17120</v>
      </c>
      <c r="BB89" s="9">
        <v>17130</v>
      </c>
      <c r="BC89" s="9">
        <v>17150</v>
      </c>
      <c r="BD89" s="9">
        <v>17170</v>
      </c>
      <c r="BE89" s="9">
        <v>17200</v>
      </c>
      <c r="BF89" s="9">
        <v>17220</v>
      </c>
      <c r="BG89" s="9">
        <v>17240</v>
      </c>
      <c r="BH89" s="9">
        <v>17250</v>
      </c>
      <c r="BI89" s="9">
        <v>17270</v>
      </c>
      <c r="BJ89" s="9">
        <v>17270</v>
      </c>
      <c r="BK89" s="9">
        <v>17280</v>
      </c>
      <c r="BL89" s="9">
        <v>17290</v>
      </c>
      <c r="BM89" s="9">
        <v>17300</v>
      </c>
      <c r="BN89" s="9">
        <v>17310</v>
      </c>
      <c r="BO89" s="9">
        <v>17340</v>
      </c>
    </row>
    <row r="90" spans="1:67" x14ac:dyDescent="0.2">
      <c r="C90" s="3">
        <v>18</v>
      </c>
      <c r="E90" s="9">
        <v>21800</v>
      </c>
      <c r="F90" s="9">
        <v>22350</v>
      </c>
      <c r="G90" s="9">
        <v>23040</v>
      </c>
      <c r="H90" s="9">
        <v>21710</v>
      </c>
      <c r="I90" s="9">
        <v>19990</v>
      </c>
      <c r="J90" s="9">
        <v>19310</v>
      </c>
      <c r="K90" s="9">
        <v>18950</v>
      </c>
      <c r="L90" s="9">
        <v>18990</v>
      </c>
      <c r="M90" s="9">
        <v>19410</v>
      </c>
      <c r="N90" s="9">
        <v>19620</v>
      </c>
      <c r="O90" s="9">
        <v>20050</v>
      </c>
      <c r="P90" s="9">
        <v>19950</v>
      </c>
      <c r="Q90" s="9">
        <v>20690</v>
      </c>
      <c r="R90" s="9">
        <v>20340</v>
      </c>
      <c r="S90" s="9">
        <v>19440</v>
      </c>
      <c r="T90" s="9">
        <v>19610</v>
      </c>
      <c r="U90" s="9">
        <v>19940</v>
      </c>
      <c r="V90" s="9">
        <v>19770</v>
      </c>
      <c r="W90" s="9">
        <v>20070</v>
      </c>
      <c r="X90" s="9">
        <v>21060</v>
      </c>
      <c r="Y90" s="9">
        <v>21860</v>
      </c>
      <c r="Z90" s="9">
        <v>21990</v>
      </c>
      <c r="AA90" s="9">
        <v>22040</v>
      </c>
      <c r="AB90" s="9">
        <v>21440</v>
      </c>
      <c r="AC90" s="9">
        <v>21090</v>
      </c>
      <c r="AD90" s="9">
        <v>20740</v>
      </c>
      <c r="AE90" s="9">
        <v>20250</v>
      </c>
      <c r="AF90" s="9">
        <v>19920</v>
      </c>
      <c r="AG90" s="9">
        <v>20170</v>
      </c>
      <c r="AH90" s="9">
        <v>20380</v>
      </c>
      <c r="AI90" s="9">
        <v>20560</v>
      </c>
      <c r="AJ90" s="9">
        <v>20740</v>
      </c>
      <c r="AK90" s="9">
        <v>20920</v>
      </c>
      <c r="AL90" s="9">
        <v>21070</v>
      </c>
      <c r="AM90" s="9">
        <v>21200</v>
      </c>
      <c r="AN90" s="9">
        <v>21320</v>
      </c>
      <c r="AO90" s="9">
        <v>21410</v>
      </c>
      <c r="AP90" s="9">
        <v>21470</v>
      </c>
      <c r="AQ90" s="9">
        <v>21520</v>
      </c>
      <c r="AR90" s="9">
        <v>21550</v>
      </c>
      <c r="AS90" s="9">
        <v>21550</v>
      </c>
      <c r="AT90" s="9">
        <v>21540</v>
      </c>
      <c r="AU90" s="9">
        <v>21500</v>
      </c>
      <c r="AV90" s="9">
        <v>21450</v>
      </c>
      <c r="AW90" s="9">
        <v>21400</v>
      </c>
      <c r="AX90" s="9">
        <v>21340</v>
      </c>
      <c r="AY90" s="9">
        <v>21300</v>
      </c>
      <c r="AZ90" s="9">
        <v>21260</v>
      </c>
      <c r="BA90" s="9">
        <v>21250</v>
      </c>
      <c r="BB90" s="9">
        <v>21240</v>
      </c>
      <c r="BC90" s="9">
        <v>21260</v>
      </c>
      <c r="BD90" s="9">
        <v>21280</v>
      </c>
      <c r="BE90" s="9">
        <v>21300</v>
      </c>
      <c r="BF90" s="9">
        <v>21330</v>
      </c>
      <c r="BG90" s="9">
        <v>21360</v>
      </c>
      <c r="BH90" s="9">
        <v>21390</v>
      </c>
      <c r="BI90" s="9">
        <v>21410</v>
      </c>
      <c r="BJ90" s="9">
        <v>21420</v>
      </c>
      <c r="BK90" s="9">
        <v>21430</v>
      </c>
      <c r="BL90" s="9">
        <v>21440</v>
      </c>
      <c r="BM90" s="9">
        <v>21450</v>
      </c>
      <c r="BN90" s="9">
        <v>21460</v>
      </c>
      <c r="BO90" s="9">
        <v>21480</v>
      </c>
    </row>
    <row r="91" spans="1:67" x14ac:dyDescent="0.2">
      <c r="C91" s="3">
        <v>19</v>
      </c>
      <c r="E91" s="9">
        <v>22230</v>
      </c>
      <c r="F91" s="9">
        <v>22920</v>
      </c>
      <c r="G91" s="9">
        <v>23480</v>
      </c>
      <c r="H91" s="9">
        <v>24200</v>
      </c>
      <c r="I91" s="9">
        <v>25150</v>
      </c>
      <c r="J91" s="9">
        <v>24600</v>
      </c>
      <c r="K91" s="9">
        <v>24240</v>
      </c>
      <c r="L91" s="9">
        <v>23710</v>
      </c>
      <c r="M91" s="9">
        <v>23760</v>
      </c>
      <c r="N91" s="9">
        <v>24300</v>
      </c>
      <c r="O91" s="9">
        <v>23850</v>
      </c>
      <c r="P91" s="9">
        <v>23470</v>
      </c>
      <c r="Q91" s="9">
        <v>22900</v>
      </c>
      <c r="R91" s="9">
        <v>23370</v>
      </c>
      <c r="S91" s="9">
        <v>22710</v>
      </c>
      <c r="T91" s="9">
        <v>21540</v>
      </c>
      <c r="U91" s="9">
        <v>21630</v>
      </c>
      <c r="V91" s="9">
        <v>21940</v>
      </c>
      <c r="W91" s="9">
        <v>21710</v>
      </c>
      <c r="X91" s="9">
        <v>21990</v>
      </c>
      <c r="Y91" s="9">
        <v>23030</v>
      </c>
      <c r="Z91" s="9">
        <v>23850</v>
      </c>
      <c r="AA91" s="9">
        <v>23960</v>
      </c>
      <c r="AB91" s="9">
        <v>23990</v>
      </c>
      <c r="AC91" s="9">
        <v>23320</v>
      </c>
      <c r="AD91" s="9">
        <v>22920</v>
      </c>
      <c r="AE91" s="9">
        <v>22530</v>
      </c>
      <c r="AF91" s="9">
        <v>21990</v>
      </c>
      <c r="AG91" s="9">
        <v>21630</v>
      </c>
      <c r="AH91" s="9">
        <v>21890</v>
      </c>
      <c r="AI91" s="9">
        <v>22110</v>
      </c>
      <c r="AJ91" s="9">
        <v>22310</v>
      </c>
      <c r="AK91" s="9">
        <v>22500</v>
      </c>
      <c r="AL91" s="9">
        <v>22690</v>
      </c>
      <c r="AM91" s="9">
        <v>22850</v>
      </c>
      <c r="AN91" s="9">
        <v>22990</v>
      </c>
      <c r="AO91" s="9">
        <v>23110</v>
      </c>
      <c r="AP91" s="9">
        <v>23210</v>
      </c>
      <c r="AQ91" s="9">
        <v>23290</v>
      </c>
      <c r="AR91" s="9">
        <v>23340</v>
      </c>
      <c r="AS91" s="9">
        <v>23360</v>
      </c>
      <c r="AT91" s="9">
        <v>23370</v>
      </c>
      <c r="AU91" s="9">
        <v>23350</v>
      </c>
      <c r="AV91" s="9">
        <v>23310</v>
      </c>
      <c r="AW91" s="9">
        <v>23260</v>
      </c>
      <c r="AX91" s="9">
        <v>23210</v>
      </c>
      <c r="AY91" s="9">
        <v>23150</v>
      </c>
      <c r="AZ91" s="9">
        <v>23100</v>
      </c>
      <c r="BA91" s="9">
        <v>23060</v>
      </c>
      <c r="BB91" s="9">
        <v>23040</v>
      </c>
      <c r="BC91" s="9">
        <v>23040</v>
      </c>
      <c r="BD91" s="9">
        <v>23050</v>
      </c>
      <c r="BE91" s="9">
        <v>23080</v>
      </c>
      <c r="BF91" s="9">
        <v>23110</v>
      </c>
      <c r="BG91" s="9">
        <v>23140</v>
      </c>
      <c r="BH91" s="9">
        <v>23170</v>
      </c>
      <c r="BI91" s="9">
        <v>23200</v>
      </c>
      <c r="BJ91" s="9">
        <v>23220</v>
      </c>
      <c r="BK91" s="9">
        <v>23230</v>
      </c>
      <c r="BL91" s="9">
        <v>23240</v>
      </c>
      <c r="BM91" s="9">
        <v>23250</v>
      </c>
      <c r="BN91" s="9">
        <v>23260</v>
      </c>
      <c r="BO91" s="9">
        <v>23280</v>
      </c>
    </row>
    <row r="92" spans="1:67" x14ac:dyDescent="0.2">
      <c r="C92" s="3">
        <v>20</v>
      </c>
      <c r="E92" s="9">
        <v>22370</v>
      </c>
      <c r="F92" s="9">
        <v>22750</v>
      </c>
      <c r="G92" s="9">
        <v>23570</v>
      </c>
      <c r="H92" s="9">
        <v>24340</v>
      </c>
      <c r="I92" s="9">
        <v>25290</v>
      </c>
      <c r="J92" s="9">
        <v>26280</v>
      </c>
      <c r="K92" s="9">
        <v>25490</v>
      </c>
      <c r="L92" s="9">
        <v>25180</v>
      </c>
      <c r="M92" s="9">
        <v>24450</v>
      </c>
      <c r="N92" s="9">
        <v>25290</v>
      </c>
      <c r="O92" s="9">
        <v>25540</v>
      </c>
      <c r="P92" s="9">
        <v>24790</v>
      </c>
      <c r="Q92" s="9">
        <v>24420</v>
      </c>
      <c r="R92" s="9">
        <v>23840</v>
      </c>
      <c r="S92" s="9">
        <v>24350</v>
      </c>
      <c r="T92" s="9">
        <v>23680</v>
      </c>
      <c r="U92" s="9">
        <v>22500</v>
      </c>
      <c r="V92" s="9">
        <v>22600</v>
      </c>
      <c r="W92" s="9">
        <v>22940</v>
      </c>
      <c r="X92" s="9">
        <v>22710</v>
      </c>
      <c r="Y92" s="9">
        <v>23010</v>
      </c>
      <c r="Z92" s="9">
        <v>24090</v>
      </c>
      <c r="AA92" s="9">
        <v>24950</v>
      </c>
      <c r="AB92" s="9">
        <v>25080</v>
      </c>
      <c r="AC92" s="9">
        <v>25110</v>
      </c>
      <c r="AD92" s="9">
        <v>24430</v>
      </c>
      <c r="AE92" s="9">
        <v>24030</v>
      </c>
      <c r="AF92" s="9">
        <v>23630</v>
      </c>
      <c r="AG92" s="9">
        <v>23070</v>
      </c>
      <c r="AH92" s="9">
        <v>22710</v>
      </c>
      <c r="AI92" s="9">
        <v>22980</v>
      </c>
      <c r="AJ92" s="9">
        <v>23220</v>
      </c>
      <c r="AK92" s="9">
        <v>23420</v>
      </c>
      <c r="AL92" s="9">
        <v>23620</v>
      </c>
      <c r="AM92" s="9">
        <v>23810</v>
      </c>
      <c r="AN92" s="9">
        <v>23980</v>
      </c>
      <c r="AO92" s="9">
        <v>24130</v>
      </c>
      <c r="AP92" s="9">
        <v>24260</v>
      </c>
      <c r="AQ92" s="9">
        <v>24360</v>
      </c>
      <c r="AR92" s="9">
        <v>24430</v>
      </c>
      <c r="AS92" s="9">
        <v>24490</v>
      </c>
      <c r="AT92" s="9">
        <v>24520</v>
      </c>
      <c r="AU92" s="9">
        <v>24520</v>
      </c>
      <c r="AV92" s="9">
        <v>24500</v>
      </c>
      <c r="AW92" s="9">
        <v>24460</v>
      </c>
      <c r="AX92" s="9">
        <v>24410</v>
      </c>
      <c r="AY92" s="9">
        <v>24350</v>
      </c>
      <c r="AZ92" s="9">
        <v>24290</v>
      </c>
      <c r="BA92" s="9">
        <v>24240</v>
      </c>
      <c r="BB92" s="9">
        <v>24200</v>
      </c>
      <c r="BC92" s="9">
        <v>24180</v>
      </c>
      <c r="BD92" s="9">
        <v>24180</v>
      </c>
      <c r="BE92" s="9">
        <v>24200</v>
      </c>
      <c r="BF92" s="9">
        <v>24220</v>
      </c>
      <c r="BG92" s="9">
        <v>24250</v>
      </c>
      <c r="BH92" s="9">
        <v>24280</v>
      </c>
      <c r="BI92" s="9">
        <v>24320</v>
      </c>
      <c r="BJ92" s="9">
        <v>24340</v>
      </c>
      <c r="BK92" s="9">
        <v>24370</v>
      </c>
      <c r="BL92" s="9">
        <v>24380</v>
      </c>
      <c r="BM92" s="9">
        <v>24400</v>
      </c>
      <c r="BN92" s="9">
        <v>24410</v>
      </c>
      <c r="BO92" s="9">
        <v>24420</v>
      </c>
    </row>
    <row r="93" spans="1:67" x14ac:dyDescent="0.2">
      <c r="C93" s="3">
        <v>21</v>
      </c>
      <c r="E93" s="9">
        <v>22760</v>
      </c>
      <c r="F93" s="9">
        <v>22930</v>
      </c>
      <c r="G93" s="9">
        <v>23470</v>
      </c>
      <c r="H93" s="9">
        <v>24660</v>
      </c>
      <c r="I93" s="9">
        <v>25680</v>
      </c>
      <c r="J93" s="9">
        <v>26720</v>
      </c>
      <c r="K93" s="9">
        <v>27590</v>
      </c>
      <c r="L93" s="9">
        <v>26890</v>
      </c>
      <c r="M93" s="9">
        <v>25900</v>
      </c>
      <c r="N93" s="9">
        <v>26580</v>
      </c>
      <c r="O93" s="9">
        <v>27180</v>
      </c>
      <c r="P93" s="9">
        <v>27160</v>
      </c>
      <c r="Q93" s="9">
        <v>26430</v>
      </c>
      <c r="R93" s="9">
        <v>26090</v>
      </c>
      <c r="S93" s="9">
        <v>25540</v>
      </c>
      <c r="T93" s="9">
        <v>26130</v>
      </c>
      <c r="U93" s="9">
        <v>25470</v>
      </c>
      <c r="V93" s="9">
        <v>24240</v>
      </c>
      <c r="W93" s="9">
        <v>24400</v>
      </c>
      <c r="X93" s="9">
        <v>24790</v>
      </c>
      <c r="Y93" s="9">
        <v>24590</v>
      </c>
      <c r="Z93" s="9">
        <v>24940</v>
      </c>
      <c r="AA93" s="9">
        <v>26140</v>
      </c>
      <c r="AB93" s="9">
        <v>27100</v>
      </c>
      <c r="AC93" s="9">
        <v>27260</v>
      </c>
      <c r="AD93" s="9">
        <v>27320</v>
      </c>
      <c r="AE93" s="9">
        <v>26600</v>
      </c>
      <c r="AF93" s="9">
        <v>26180</v>
      </c>
      <c r="AG93" s="9">
        <v>25760</v>
      </c>
      <c r="AH93" s="9">
        <v>25160</v>
      </c>
      <c r="AI93" s="9">
        <v>24780</v>
      </c>
      <c r="AJ93" s="9">
        <v>25080</v>
      </c>
      <c r="AK93" s="9">
        <v>25330</v>
      </c>
      <c r="AL93" s="9">
        <v>25550</v>
      </c>
      <c r="AM93" s="9">
        <v>25770</v>
      </c>
      <c r="AN93" s="9">
        <v>25970</v>
      </c>
      <c r="AO93" s="9">
        <v>26160</v>
      </c>
      <c r="AP93" s="9">
        <v>26320</v>
      </c>
      <c r="AQ93" s="9">
        <v>26460</v>
      </c>
      <c r="AR93" s="9">
        <v>26570</v>
      </c>
      <c r="AS93" s="9">
        <v>26650</v>
      </c>
      <c r="AT93" s="9">
        <v>26710</v>
      </c>
      <c r="AU93" s="9">
        <v>26740</v>
      </c>
      <c r="AV93" s="9">
        <v>26740</v>
      </c>
      <c r="AW93" s="9">
        <v>26720</v>
      </c>
      <c r="AX93" s="9">
        <v>26680</v>
      </c>
      <c r="AY93" s="9">
        <v>26630</v>
      </c>
      <c r="AZ93" s="9">
        <v>26560</v>
      </c>
      <c r="BA93" s="9">
        <v>26500</v>
      </c>
      <c r="BB93" s="9">
        <v>26440</v>
      </c>
      <c r="BC93" s="9">
        <v>26400</v>
      </c>
      <c r="BD93" s="9">
        <v>26380</v>
      </c>
      <c r="BE93" s="9">
        <v>26380</v>
      </c>
      <c r="BF93" s="9">
        <v>26390</v>
      </c>
      <c r="BG93" s="9">
        <v>26420</v>
      </c>
      <c r="BH93" s="9">
        <v>26450</v>
      </c>
      <c r="BI93" s="9">
        <v>26490</v>
      </c>
      <c r="BJ93" s="9">
        <v>26530</v>
      </c>
      <c r="BK93" s="9">
        <v>26560</v>
      </c>
      <c r="BL93" s="9">
        <v>26580</v>
      </c>
      <c r="BM93" s="9">
        <v>26600</v>
      </c>
      <c r="BN93" s="9">
        <v>26610</v>
      </c>
      <c r="BO93" s="9">
        <v>26620</v>
      </c>
    </row>
    <row r="94" spans="1:67" x14ac:dyDescent="0.2">
      <c r="C94" s="3">
        <v>22</v>
      </c>
      <c r="E94" s="9">
        <v>23640</v>
      </c>
      <c r="F94" s="9">
        <v>23520</v>
      </c>
      <c r="G94" s="9">
        <v>23890</v>
      </c>
      <c r="H94" s="9">
        <v>24740</v>
      </c>
      <c r="I94" s="9">
        <v>26100</v>
      </c>
      <c r="J94" s="9">
        <v>27030</v>
      </c>
      <c r="K94" s="9">
        <v>27900</v>
      </c>
      <c r="L94" s="9">
        <v>28860</v>
      </c>
      <c r="M94" s="9">
        <v>26790</v>
      </c>
      <c r="N94" s="9">
        <v>27920</v>
      </c>
      <c r="O94" s="9">
        <v>28210</v>
      </c>
      <c r="P94" s="9">
        <v>28410</v>
      </c>
      <c r="Q94" s="9">
        <v>28390</v>
      </c>
      <c r="R94" s="9">
        <v>27630</v>
      </c>
      <c r="S94" s="9">
        <v>27280</v>
      </c>
      <c r="T94" s="9">
        <v>26700</v>
      </c>
      <c r="U94" s="9">
        <v>27320</v>
      </c>
      <c r="V94" s="9">
        <v>26630</v>
      </c>
      <c r="W94" s="9">
        <v>25350</v>
      </c>
      <c r="X94" s="9">
        <v>25510</v>
      </c>
      <c r="Y94" s="9">
        <v>25930</v>
      </c>
      <c r="Z94" s="9">
        <v>25710</v>
      </c>
      <c r="AA94" s="9">
        <v>26080</v>
      </c>
      <c r="AB94" s="9">
        <v>27330</v>
      </c>
      <c r="AC94" s="9">
        <v>28330</v>
      </c>
      <c r="AD94" s="9">
        <v>28500</v>
      </c>
      <c r="AE94" s="9">
        <v>28560</v>
      </c>
      <c r="AF94" s="9">
        <v>27820</v>
      </c>
      <c r="AG94" s="9">
        <v>27380</v>
      </c>
      <c r="AH94" s="9">
        <v>26940</v>
      </c>
      <c r="AI94" s="9">
        <v>26320</v>
      </c>
      <c r="AJ94" s="9">
        <v>25910</v>
      </c>
      <c r="AK94" s="9">
        <v>26220</v>
      </c>
      <c r="AL94" s="9">
        <v>26490</v>
      </c>
      <c r="AM94" s="9">
        <v>26720</v>
      </c>
      <c r="AN94" s="9">
        <v>26950</v>
      </c>
      <c r="AO94" s="9">
        <v>27160</v>
      </c>
      <c r="AP94" s="9">
        <v>27360</v>
      </c>
      <c r="AQ94" s="9">
        <v>27520</v>
      </c>
      <c r="AR94" s="9">
        <v>27670</v>
      </c>
      <c r="AS94" s="9">
        <v>27780</v>
      </c>
      <c r="AT94" s="9">
        <v>27870</v>
      </c>
      <c r="AU94" s="9">
        <v>27930</v>
      </c>
      <c r="AV94" s="9">
        <v>27960</v>
      </c>
      <c r="AW94" s="9">
        <v>27970</v>
      </c>
      <c r="AX94" s="9">
        <v>27950</v>
      </c>
      <c r="AY94" s="9">
        <v>27910</v>
      </c>
      <c r="AZ94" s="9">
        <v>27850</v>
      </c>
      <c r="BA94" s="9">
        <v>27780</v>
      </c>
      <c r="BB94" s="9">
        <v>27710</v>
      </c>
      <c r="BC94" s="9">
        <v>27660</v>
      </c>
      <c r="BD94" s="9">
        <v>27610</v>
      </c>
      <c r="BE94" s="9">
        <v>27590</v>
      </c>
      <c r="BF94" s="9">
        <v>27590</v>
      </c>
      <c r="BG94" s="9">
        <v>27610</v>
      </c>
      <c r="BH94" s="9">
        <v>27630</v>
      </c>
      <c r="BI94" s="9">
        <v>27670</v>
      </c>
      <c r="BJ94" s="9">
        <v>27710</v>
      </c>
      <c r="BK94" s="9">
        <v>27740</v>
      </c>
      <c r="BL94" s="9">
        <v>27780</v>
      </c>
      <c r="BM94" s="9">
        <v>27800</v>
      </c>
      <c r="BN94" s="9">
        <v>27820</v>
      </c>
      <c r="BO94" s="9">
        <v>27840</v>
      </c>
    </row>
    <row r="95" spans="1:67" x14ac:dyDescent="0.2">
      <c r="C95" s="3">
        <v>23</v>
      </c>
      <c r="E95" s="9">
        <v>24360</v>
      </c>
      <c r="F95" s="9">
        <v>24290</v>
      </c>
      <c r="G95" s="9">
        <v>24400</v>
      </c>
      <c r="H95" s="9">
        <v>25070</v>
      </c>
      <c r="I95" s="9">
        <v>26030</v>
      </c>
      <c r="J95" s="9">
        <v>27280</v>
      </c>
      <c r="K95" s="9">
        <v>28070</v>
      </c>
      <c r="L95" s="9">
        <v>29040</v>
      </c>
      <c r="M95" s="9">
        <v>28180</v>
      </c>
      <c r="N95" s="9">
        <v>28920</v>
      </c>
      <c r="O95" s="9">
        <v>29610</v>
      </c>
      <c r="P95" s="9">
        <v>29420</v>
      </c>
      <c r="Q95" s="9">
        <v>29630</v>
      </c>
      <c r="R95" s="9">
        <v>29620</v>
      </c>
      <c r="S95" s="9">
        <v>28820</v>
      </c>
      <c r="T95" s="9">
        <v>28460</v>
      </c>
      <c r="U95" s="9">
        <v>27860</v>
      </c>
      <c r="V95" s="9">
        <v>28500</v>
      </c>
      <c r="W95" s="9">
        <v>27780</v>
      </c>
      <c r="X95" s="9">
        <v>26450</v>
      </c>
      <c r="Y95" s="9">
        <v>26620</v>
      </c>
      <c r="Z95" s="9">
        <v>27050</v>
      </c>
      <c r="AA95" s="9">
        <v>26830</v>
      </c>
      <c r="AB95" s="9">
        <v>27210</v>
      </c>
      <c r="AC95" s="9">
        <v>28510</v>
      </c>
      <c r="AD95" s="9">
        <v>29550</v>
      </c>
      <c r="AE95" s="9">
        <v>29730</v>
      </c>
      <c r="AF95" s="9">
        <v>29800</v>
      </c>
      <c r="AG95" s="9">
        <v>29020</v>
      </c>
      <c r="AH95" s="9">
        <v>28560</v>
      </c>
      <c r="AI95" s="9">
        <v>28110</v>
      </c>
      <c r="AJ95" s="9">
        <v>27460</v>
      </c>
      <c r="AK95" s="9">
        <v>27040</v>
      </c>
      <c r="AL95" s="9">
        <v>27360</v>
      </c>
      <c r="AM95" s="9">
        <v>27640</v>
      </c>
      <c r="AN95" s="9">
        <v>27880</v>
      </c>
      <c r="AO95" s="9">
        <v>28120</v>
      </c>
      <c r="AP95" s="9">
        <v>28340</v>
      </c>
      <c r="AQ95" s="9">
        <v>28540</v>
      </c>
      <c r="AR95" s="9">
        <v>28720</v>
      </c>
      <c r="AS95" s="9">
        <v>28870</v>
      </c>
      <c r="AT95" s="9">
        <v>28990</v>
      </c>
      <c r="AU95" s="9">
        <v>29080</v>
      </c>
      <c r="AV95" s="9">
        <v>29140</v>
      </c>
      <c r="AW95" s="9">
        <v>29180</v>
      </c>
      <c r="AX95" s="9">
        <v>29180</v>
      </c>
      <c r="AY95" s="9">
        <v>29160</v>
      </c>
      <c r="AZ95" s="9">
        <v>29120</v>
      </c>
      <c r="BA95" s="9">
        <v>29060</v>
      </c>
      <c r="BB95" s="9">
        <v>28990</v>
      </c>
      <c r="BC95" s="9">
        <v>28920</v>
      </c>
      <c r="BD95" s="9">
        <v>28860</v>
      </c>
      <c r="BE95" s="9">
        <v>28820</v>
      </c>
      <c r="BF95" s="9">
        <v>28790</v>
      </c>
      <c r="BG95" s="9">
        <v>28790</v>
      </c>
      <c r="BH95" s="9">
        <v>28810</v>
      </c>
      <c r="BI95" s="9">
        <v>28840</v>
      </c>
      <c r="BJ95" s="9">
        <v>28870</v>
      </c>
      <c r="BK95" s="9">
        <v>28910</v>
      </c>
      <c r="BL95" s="9">
        <v>28950</v>
      </c>
      <c r="BM95" s="9">
        <v>28990</v>
      </c>
      <c r="BN95" s="9">
        <v>29010</v>
      </c>
      <c r="BO95" s="9">
        <v>29030</v>
      </c>
    </row>
    <row r="96" spans="1:67" x14ac:dyDescent="0.2">
      <c r="C96" s="3">
        <v>24</v>
      </c>
      <c r="E96" s="9">
        <v>24050</v>
      </c>
      <c r="F96" s="9">
        <v>24760</v>
      </c>
      <c r="G96" s="9">
        <v>24790</v>
      </c>
      <c r="H96" s="9">
        <v>25280</v>
      </c>
      <c r="I96" s="9">
        <v>26060</v>
      </c>
      <c r="J96" s="9">
        <v>26770</v>
      </c>
      <c r="K96" s="9">
        <v>27930</v>
      </c>
      <c r="L96" s="9">
        <v>28800</v>
      </c>
      <c r="M96" s="9">
        <v>27760</v>
      </c>
      <c r="N96" s="9">
        <v>30040</v>
      </c>
      <c r="O96" s="9">
        <v>30290</v>
      </c>
      <c r="P96" s="9">
        <v>30500</v>
      </c>
      <c r="Q96" s="9">
        <v>30310</v>
      </c>
      <c r="R96" s="9">
        <v>30530</v>
      </c>
      <c r="S96" s="9">
        <v>30510</v>
      </c>
      <c r="T96" s="9">
        <v>29690</v>
      </c>
      <c r="U96" s="9">
        <v>29320</v>
      </c>
      <c r="V96" s="9">
        <v>28710</v>
      </c>
      <c r="W96" s="9">
        <v>29360</v>
      </c>
      <c r="X96" s="9">
        <v>28630</v>
      </c>
      <c r="Y96" s="9">
        <v>27270</v>
      </c>
      <c r="Z96" s="9">
        <v>27440</v>
      </c>
      <c r="AA96" s="9">
        <v>27880</v>
      </c>
      <c r="AB96" s="9">
        <v>27660</v>
      </c>
      <c r="AC96" s="9">
        <v>28050</v>
      </c>
      <c r="AD96" s="9">
        <v>29380</v>
      </c>
      <c r="AE96" s="9">
        <v>30450</v>
      </c>
      <c r="AF96" s="9">
        <v>30640</v>
      </c>
      <c r="AG96" s="9">
        <v>30700</v>
      </c>
      <c r="AH96" s="9">
        <v>29900</v>
      </c>
      <c r="AI96" s="9">
        <v>29440</v>
      </c>
      <c r="AJ96" s="9">
        <v>28970</v>
      </c>
      <c r="AK96" s="9">
        <v>28300</v>
      </c>
      <c r="AL96" s="9">
        <v>27870</v>
      </c>
      <c r="AM96" s="9">
        <v>28210</v>
      </c>
      <c r="AN96" s="9">
        <v>28490</v>
      </c>
      <c r="AO96" s="9">
        <v>28740</v>
      </c>
      <c r="AP96" s="9">
        <v>28980</v>
      </c>
      <c r="AQ96" s="9">
        <v>29210</v>
      </c>
      <c r="AR96" s="9">
        <v>29420</v>
      </c>
      <c r="AS96" s="9">
        <v>29600</v>
      </c>
      <c r="AT96" s="9">
        <v>29750</v>
      </c>
      <c r="AU96" s="9">
        <v>29880</v>
      </c>
      <c r="AV96" s="9">
        <v>29970</v>
      </c>
      <c r="AW96" s="9">
        <v>30030</v>
      </c>
      <c r="AX96" s="9">
        <v>30070</v>
      </c>
      <c r="AY96" s="9">
        <v>30080</v>
      </c>
      <c r="AZ96" s="9">
        <v>30060</v>
      </c>
      <c r="BA96" s="9">
        <v>30010</v>
      </c>
      <c r="BB96" s="9">
        <v>29950</v>
      </c>
      <c r="BC96" s="9">
        <v>29880</v>
      </c>
      <c r="BD96" s="9">
        <v>29810</v>
      </c>
      <c r="BE96" s="9">
        <v>29740</v>
      </c>
      <c r="BF96" s="9">
        <v>29700</v>
      </c>
      <c r="BG96" s="9">
        <v>29680</v>
      </c>
      <c r="BH96" s="9">
        <v>29680</v>
      </c>
      <c r="BI96" s="9">
        <v>29690</v>
      </c>
      <c r="BJ96" s="9">
        <v>29720</v>
      </c>
      <c r="BK96" s="9">
        <v>29760</v>
      </c>
      <c r="BL96" s="9">
        <v>29800</v>
      </c>
      <c r="BM96" s="9">
        <v>29840</v>
      </c>
      <c r="BN96" s="9">
        <v>29880</v>
      </c>
      <c r="BO96" s="9">
        <v>29910</v>
      </c>
    </row>
    <row r="97" spans="3:67" x14ac:dyDescent="0.2">
      <c r="C97" s="3">
        <v>25</v>
      </c>
      <c r="E97" s="9">
        <v>23360</v>
      </c>
      <c r="F97" s="9">
        <v>24110</v>
      </c>
      <c r="G97" s="9">
        <v>24890</v>
      </c>
      <c r="H97" s="9">
        <v>25230</v>
      </c>
      <c r="I97" s="9">
        <v>25780</v>
      </c>
      <c r="J97" s="9">
        <v>26370</v>
      </c>
      <c r="K97" s="9">
        <v>26970</v>
      </c>
      <c r="L97" s="9">
        <v>28200</v>
      </c>
      <c r="M97" s="9">
        <v>26900</v>
      </c>
      <c r="N97" s="9">
        <v>29150</v>
      </c>
      <c r="O97" s="9">
        <v>30990</v>
      </c>
      <c r="P97" s="9">
        <v>30760</v>
      </c>
      <c r="Q97" s="9">
        <v>30970</v>
      </c>
      <c r="R97" s="9">
        <v>30780</v>
      </c>
      <c r="S97" s="9">
        <v>31000</v>
      </c>
      <c r="T97" s="9">
        <v>30980</v>
      </c>
      <c r="U97" s="9">
        <v>30160</v>
      </c>
      <c r="V97" s="9">
        <v>29780</v>
      </c>
      <c r="W97" s="9">
        <v>29160</v>
      </c>
      <c r="X97" s="9">
        <v>29830</v>
      </c>
      <c r="Y97" s="9">
        <v>29080</v>
      </c>
      <c r="Z97" s="9">
        <v>27710</v>
      </c>
      <c r="AA97" s="9">
        <v>27880</v>
      </c>
      <c r="AB97" s="9">
        <v>28330</v>
      </c>
      <c r="AC97" s="9">
        <v>28100</v>
      </c>
      <c r="AD97" s="9">
        <v>28500</v>
      </c>
      <c r="AE97" s="9">
        <v>29850</v>
      </c>
      <c r="AF97" s="9">
        <v>30930</v>
      </c>
      <c r="AG97" s="9">
        <v>31120</v>
      </c>
      <c r="AH97" s="9">
        <v>31180</v>
      </c>
      <c r="AI97" s="9">
        <v>30380</v>
      </c>
      <c r="AJ97" s="9">
        <v>29900</v>
      </c>
      <c r="AK97" s="9">
        <v>29430</v>
      </c>
      <c r="AL97" s="9">
        <v>28760</v>
      </c>
      <c r="AM97" s="9">
        <v>28320</v>
      </c>
      <c r="AN97" s="9">
        <v>28660</v>
      </c>
      <c r="AO97" s="9">
        <v>28950</v>
      </c>
      <c r="AP97" s="9">
        <v>29200</v>
      </c>
      <c r="AQ97" s="9">
        <v>29440</v>
      </c>
      <c r="AR97" s="9">
        <v>29680</v>
      </c>
      <c r="AS97" s="9">
        <v>29890</v>
      </c>
      <c r="AT97" s="9">
        <v>30070</v>
      </c>
      <c r="AU97" s="9">
        <v>30230</v>
      </c>
      <c r="AV97" s="9">
        <v>30350</v>
      </c>
      <c r="AW97" s="9">
        <v>30450</v>
      </c>
      <c r="AX97" s="9">
        <v>30510</v>
      </c>
      <c r="AY97" s="9">
        <v>30550</v>
      </c>
      <c r="AZ97" s="9">
        <v>30560</v>
      </c>
      <c r="BA97" s="9">
        <v>30530</v>
      </c>
      <c r="BB97" s="9">
        <v>30490</v>
      </c>
      <c r="BC97" s="9">
        <v>30430</v>
      </c>
      <c r="BD97" s="9">
        <v>30360</v>
      </c>
      <c r="BE97" s="9">
        <v>30280</v>
      </c>
      <c r="BF97" s="9">
        <v>30220</v>
      </c>
      <c r="BG97" s="9">
        <v>30180</v>
      </c>
      <c r="BH97" s="9">
        <v>30150</v>
      </c>
      <c r="BI97" s="9">
        <v>30150</v>
      </c>
      <c r="BJ97" s="9">
        <v>30170</v>
      </c>
      <c r="BK97" s="9">
        <v>30200</v>
      </c>
      <c r="BL97" s="9">
        <v>30240</v>
      </c>
      <c r="BM97" s="9">
        <v>30280</v>
      </c>
      <c r="BN97" s="9">
        <v>30320</v>
      </c>
      <c r="BO97" s="9">
        <v>30360</v>
      </c>
    </row>
    <row r="98" spans="3:67" x14ac:dyDescent="0.2">
      <c r="C98" s="3">
        <v>26</v>
      </c>
      <c r="E98" s="9">
        <v>22970</v>
      </c>
      <c r="F98" s="9">
        <v>23800</v>
      </c>
      <c r="G98" s="9">
        <v>24480</v>
      </c>
      <c r="H98" s="9">
        <v>25550</v>
      </c>
      <c r="I98" s="9">
        <v>26080</v>
      </c>
      <c r="J98" s="9">
        <v>26360</v>
      </c>
      <c r="K98" s="9">
        <v>26890</v>
      </c>
      <c r="L98" s="9">
        <v>27550</v>
      </c>
      <c r="M98" s="9">
        <v>26220</v>
      </c>
      <c r="N98" s="9">
        <v>28560</v>
      </c>
      <c r="O98" s="9">
        <v>30430</v>
      </c>
      <c r="P98" s="9">
        <v>31880</v>
      </c>
      <c r="Q98" s="9">
        <v>31650</v>
      </c>
      <c r="R98" s="9">
        <v>31870</v>
      </c>
      <c r="S98" s="9">
        <v>31670</v>
      </c>
      <c r="T98" s="9">
        <v>31890</v>
      </c>
      <c r="U98" s="9">
        <v>31880</v>
      </c>
      <c r="V98" s="9">
        <v>31030</v>
      </c>
      <c r="W98" s="9">
        <v>30650</v>
      </c>
      <c r="X98" s="9">
        <v>30020</v>
      </c>
      <c r="Y98" s="9">
        <v>30700</v>
      </c>
      <c r="Z98" s="9">
        <v>29930</v>
      </c>
      <c r="AA98" s="9">
        <v>28530</v>
      </c>
      <c r="AB98" s="9">
        <v>28710</v>
      </c>
      <c r="AC98" s="9">
        <v>29170</v>
      </c>
      <c r="AD98" s="9">
        <v>28930</v>
      </c>
      <c r="AE98" s="9">
        <v>29340</v>
      </c>
      <c r="AF98" s="9">
        <v>30720</v>
      </c>
      <c r="AG98" s="9">
        <v>31820</v>
      </c>
      <c r="AH98" s="9">
        <v>32020</v>
      </c>
      <c r="AI98" s="9">
        <v>32090</v>
      </c>
      <c r="AJ98" s="9">
        <v>31260</v>
      </c>
      <c r="AK98" s="9">
        <v>30780</v>
      </c>
      <c r="AL98" s="9">
        <v>30300</v>
      </c>
      <c r="AM98" s="9">
        <v>29610</v>
      </c>
      <c r="AN98" s="9">
        <v>29160</v>
      </c>
      <c r="AO98" s="9">
        <v>29510</v>
      </c>
      <c r="AP98" s="9">
        <v>29800</v>
      </c>
      <c r="AQ98" s="9">
        <v>30060</v>
      </c>
      <c r="AR98" s="9">
        <v>30310</v>
      </c>
      <c r="AS98" s="9">
        <v>30550</v>
      </c>
      <c r="AT98" s="9">
        <v>30770</v>
      </c>
      <c r="AU98" s="9">
        <v>30950</v>
      </c>
      <c r="AV98" s="9">
        <v>31110</v>
      </c>
      <c r="AW98" s="9">
        <v>31240</v>
      </c>
      <c r="AX98" s="9">
        <v>31340</v>
      </c>
      <c r="AY98" s="9">
        <v>31400</v>
      </c>
      <c r="AZ98" s="9">
        <v>31440</v>
      </c>
      <c r="BA98" s="9">
        <v>31450</v>
      </c>
      <c r="BB98" s="9">
        <v>31430</v>
      </c>
      <c r="BC98" s="9">
        <v>31380</v>
      </c>
      <c r="BD98" s="9">
        <v>31320</v>
      </c>
      <c r="BE98" s="9">
        <v>31250</v>
      </c>
      <c r="BF98" s="9">
        <v>31170</v>
      </c>
      <c r="BG98" s="9">
        <v>31110</v>
      </c>
      <c r="BH98" s="9">
        <v>31060</v>
      </c>
      <c r="BI98" s="9">
        <v>31040</v>
      </c>
      <c r="BJ98" s="9">
        <v>31040</v>
      </c>
      <c r="BK98" s="9">
        <v>31060</v>
      </c>
      <c r="BL98" s="9">
        <v>31090</v>
      </c>
      <c r="BM98" s="9">
        <v>31130</v>
      </c>
      <c r="BN98" s="9">
        <v>31170</v>
      </c>
      <c r="BO98" s="9">
        <v>31210</v>
      </c>
    </row>
    <row r="99" spans="3:67" x14ac:dyDescent="0.2">
      <c r="C99" s="3">
        <v>27</v>
      </c>
      <c r="E99" s="9">
        <v>22580</v>
      </c>
      <c r="F99" s="9">
        <v>23320</v>
      </c>
      <c r="G99" s="9">
        <v>24130</v>
      </c>
      <c r="H99" s="9">
        <v>25060</v>
      </c>
      <c r="I99" s="9">
        <v>26300</v>
      </c>
      <c r="J99" s="9">
        <v>26460</v>
      </c>
      <c r="K99" s="9">
        <v>26760</v>
      </c>
      <c r="L99" s="9">
        <v>27350</v>
      </c>
      <c r="M99" s="9">
        <v>25650</v>
      </c>
      <c r="N99" s="9">
        <v>27600</v>
      </c>
      <c r="O99" s="9">
        <v>29610</v>
      </c>
      <c r="P99" s="9">
        <v>31140</v>
      </c>
      <c r="Q99" s="9">
        <v>32610</v>
      </c>
      <c r="R99" s="9">
        <v>32380</v>
      </c>
      <c r="S99" s="9">
        <v>32590</v>
      </c>
      <c r="T99" s="9">
        <v>32400</v>
      </c>
      <c r="U99" s="9">
        <v>32620</v>
      </c>
      <c r="V99" s="9">
        <v>32610</v>
      </c>
      <c r="W99" s="9">
        <v>31750</v>
      </c>
      <c r="X99" s="9">
        <v>31360</v>
      </c>
      <c r="Y99" s="9">
        <v>30720</v>
      </c>
      <c r="Z99" s="9">
        <v>31410</v>
      </c>
      <c r="AA99" s="9">
        <v>30630</v>
      </c>
      <c r="AB99" s="9">
        <v>29210</v>
      </c>
      <c r="AC99" s="9">
        <v>29390</v>
      </c>
      <c r="AD99" s="9">
        <v>29860</v>
      </c>
      <c r="AE99" s="9">
        <v>29620</v>
      </c>
      <c r="AF99" s="9">
        <v>30030</v>
      </c>
      <c r="AG99" s="9">
        <v>31430</v>
      </c>
      <c r="AH99" s="9">
        <v>32560</v>
      </c>
      <c r="AI99" s="9">
        <v>32750</v>
      </c>
      <c r="AJ99" s="9">
        <v>32820</v>
      </c>
      <c r="AK99" s="9">
        <v>31990</v>
      </c>
      <c r="AL99" s="9">
        <v>31500</v>
      </c>
      <c r="AM99" s="9">
        <v>31010</v>
      </c>
      <c r="AN99" s="9">
        <v>30310</v>
      </c>
      <c r="AO99" s="9">
        <v>29850</v>
      </c>
      <c r="AP99" s="9">
        <v>30210</v>
      </c>
      <c r="AQ99" s="9">
        <v>30510</v>
      </c>
      <c r="AR99" s="9">
        <v>30760</v>
      </c>
      <c r="AS99" s="9">
        <v>31020</v>
      </c>
      <c r="AT99" s="9">
        <v>31270</v>
      </c>
      <c r="AU99" s="9">
        <v>31480</v>
      </c>
      <c r="AV99" s="9">
        <v>31670</v>
      </c>
      <c r="AW99" s="9">
        <v>31840</v>
      </c>
      <c r="AX99" s="9">
        <v>31970</v>
      </c>
      <c r="AY99" s="9">
        <v>32070</v>
      </c>
      <c r="AZ99" s="9">
        <v>32130</v>
      </c>
      <c r="BA99" s="9">
        <v>32170</v>
      </c>
      <c r="BB99" s="9">
        <v>32180</v>
      </c>
      <c r="BC99" s="9">
        <v>32160</v>
      </c>
      <c r="BD99" s="9">
        <v>32110</v>
      </c>
      <c r="BE99" s="9">
        <v>32050</v>
      </c>
      <c r="BF99" s="9">
        <v>31980</v>
      </c>
      <c r="BG99" s="9">
        <v>31900</v>
      </c>
      <c r="BH99" s="9">
        <v>31840</v>
      </c>
      <c r="BI99" s="9">
        <v>31790</v>
      </c>
      <c r="BJ99" s="9">
        <v>31770</v>
      </c>
      <c r="BK99" s="9">
        <v>31770</v>
      </c>
      <c r="BL99" s="9">
        <v>31780</v>
      </c>
      <c r="BM99" s="9">
        <v>31820</v>
      </c>
      <c r="BN99" s="9">
        <v>31860</v>
      </c>
      <c r="BO99" s="9">
        <v>31900</v>
      </c>
    </row>
    <row r="100" spans="3:67" x14ac:dyDescent="0.2">
      <c r="C100" s="3">
        <v>28</v>
      </c>
      <c r="E100" s="9">
        <v>22120</v>
      </c>
      <c r="F100" s="9">
        <v>22880</v>
      </c>
      <c r="G100" s="9">
        <v>23550</v>
      </c>
      <c r="H100" s="9">
        <v>24560</v>
      </c>
      <c r="I100" s="9">
        <v>25450</v>
      </c>
      <c r="J100" s="9">
        <v>26480</v>
      </c>
      <c r="K100" s="9">
        <v>26650</v>
      </c>
      <c r="L100" s="9">
        <v>27000</v>
      </c>
      <c r="M100" s="9">
        <v>25120</v>
      </c>
      <c r="N100" s="9">
        <v>26690</v>
      </c>
      <c r="O100" s="9">
        <v>28330</v>
      </c>
      <c r="P100" s="9">
        <v>30010</v>
      </c>
      <c r="Q100" s="9">
        <v>31550</v>
      </c>
      <c r="R100" s="9">
        <v>33030</v>
      </c>
      <c r="S100" s="9">
        <v>32800</v>
      </c>
      <c r="T100" s="9">
        <v>33020</v>
      </c>
      <c r="U100" s="9">
        <v>32820</v>
      </c>
      <c r="V100" s="9">
        <v>33050</v>
      </c>
      <c r="W100" s="9">
        <v>33030</v>
      </c>
      <c r="X100" s="9">
        <v>32170</v>
      </c>
      <c r="Y100" s="9">
        <v>31780</v>
      </c>
      <c r="Z100" s="9">
        <v>31130</v>
      </c>
      <c r="AA100" s="9">
        <v>31830</v>
      </c>
      <c r="AB100" s="9">
        <v>31050</v>
      </c>
      <c r="AC100" s="9">
        <v>29610</v>
      </c>
      <c r="AD100" s="9">
        <v>29800</v>
      </c>
      <c r="AE100" s="9">
        <v>30270</v>
      </c>
      <c r="AF100" s="9">
        <v>30030</v>
      </c>
      <c r="AG100" s="9">
        <v>30450</v>
      </c>
      <c r="AH100" s="9">
        <v>31850</v>
      </c>
      <c r="AI100" s="9">
        <v>32980</v>
      </c>
      <c r="AJ100" s="9">
        <v>33180</v>
      </c>
      <c r="AK100" s="9">
        <v>33250</v>
      </c>
      <c r="AL100" s="9">
        <v>32410</v>
      </c>
      <c r="AM100" s="9">
        <v>31920</v>
      </c>
      <c r="AN100" s="9">
        <v>31430</v>
      </c>
      <c r="AO100" s="9">
        <v>30720</v>
      </c>
      <c r="AP100" s="9">
        <v>30270</v>
      </c>
      <c r="AQ100" s="9">
        <v>30620</v>
      </c>
      <c r="AR100" s="9">
        <v>30920</v>
      </c>
      <c r="AS100" s="9">
        <v>31190</v>
      </c>
      <c r="AT100" s="9">
        <v>31440</v>
      </c>
      <c r="AU100" s="9">
        <v>31690</v>
      </c>
      <c r="AV100" s="9">
        <v>31910</v>
      </c>
      <c r="AW100" s="9">
        <v>32100</v>
      </c>
      <c r="AX100" s="9">
        <v>32270</v>
      </c>
      <c r="AY100" s="9">
        <v>32400</v>
      </c>
      <c r="AZ100" s="9">
        <v>32500</v>
      </c>
      <c r="BA100" s="9">
        <v>32560</v>
      </c>
      <c r="BB100" s="9">
        <v>32600</v>
      </c>
      <c r="BC100" s="9">
        <v>32610</v>
      </c>
      <c r="BD100" s="9">
        <v>32590</v>
      </c>
      <c r="BE100" s="9">
        <v>32540</v>
      </c>
      <c r="BF100" s="9">
        <v>32480</v>
      </c>
      <c r="BG100" s="9">
        <v>32410</v>
      </c>
      <c r="BH100" s="9">
        <v>32330</v>
      </c>
      <c r="BI100" s="9">
        <v>32270</v>
      </c>
      <c r="BJ100" s="9">
        <v>32220</v>
      </c>
      <c r="BK100" s="9">
        <v>32200</v>
      </c>
      <c r="BL100" s="9">
        <v>32200</v>
      </c>
      <c r="BM100" s="9">
        <v>32210</v>
      </c>
      <c r="BN100" s="9">
        <v>32250</v>
      </c>
      <c r="BO100" s="9">
        <v>32290</v>
      </c>
    </row>
    <row r="101" spans="3:67" x14ac:dyDescent="0.2">
      <c r="C101" s="3">
        <v>29</v>
      </c>
      <c r="E101" s="9">
        <v>22750</v>
      </c>
      <c r="F101" s="9">
        <v>22550</v>
      </c>
      <c r="G101" s="9">
        <v>23200</v>
      </c>
      <c r="H101" s="9">
        <v>24030</v>
      </c>
      <c r="I101" s="9">
        <v>24910</v>
      </c>
      <c r="J101" s="9">
        <v>25770</v>
      </c>
      <c r="K101" s="9">
        <v>26750</v>
      </c>
      <c r="L101" s="9">
        <v>26960</v>
      </c>
      <c r="M101" s="9">
        <v>24760</v>
      </c>
      <c r="N101" s="9">
        <v>26170</v>
      </c>
      <c r="O101" s="9">
        <v>27470</v>
      </c>
      <c r="P101" s="9">
        <v>28820</v>
      </c>
      <c r="Q101" s="9">
        <v>30510</v>
      </c>
      <c r="R101" s="9">
        <v>32060</v>
      </c>
      <c r="S101" s="9">
        <v>33550</v>
      </c>
      <c r="T101" s="9">
        <v>33310</v>
      </c>
      <c r="U101" s="9">
        <v>33540</v>
      </c>
      <c r="V101" s="9">
        <v>33340</v>
      </c>
      <c r="W101" s="9">
        <v>33570</v>
      </c>
      <c r="X101" s="9">
        <v>33550</v>
      </c>
      <c r="Y101" s="9">
        <v>32690</v>
      </c>
      <c r="Z101" s="9">
        <v>32290</v>
      </c>
      <c r="AA101" s="9">
        <v>31650</v>
      </c>
      <c r="AB101" s="9">
        <v>32340</v>
      </c>
      <c r="AC101" s="9">
        <v>31560</v>
      </c>
      <c r="AD101" s="9">
        <v>30120</v>
      </c>
      <c r="AE101" s="9">
        <v>30300</v>
      </c>
      <c r="AF101" s="9">
        <v>30780</v>
      </c>
      <c r="AG101" s="9">
        <v>30540</v>
      </c>
      <c r="AH101" s="9">
        <v>30960</v>
      </c>
      <c r="AI101" s="9">
        <v>32370</v>
      </c>
      <c r="AJ101" s="9">
        <v>33510</v>
      </c>
      <c r="AK101" s="9">
        <v>33710</v>
      </c>
      <c r="AL101" s="9">
        <v>33780</v>
      </c>
      <c r="AM101" s="9">
        <v>32930</v>
      </c>
      <c r="AN101" s="9">
        <v>32440</v>
      </c>
      <c r="AO101" s="9">
        <v>31940</v>
      </c>
      <c r="AP101" s="9">
        <v>31240</v>
      </c>
      <c r="AQ101" s="9">
        <v>30780</v>
      </c>
      <c r="AR101" s="9">
        <v>31140</v>
      </c>
      <c r="AS101" s="9">
        <v>31440</v>
      </c>
      <c r="AT101" s="9">
        <v>31700</v>
      </c>
      <c r="AU101" s="9">
        <v>31960</v>
      </c>
      <c r="AV101" s="9">
        <v>32210</v>
      </c>
      <c r="AW101" s="9">
        <v>32430</v>
      </c>
      <c r="AX101" s="9">
        <v>32620</v>
      </c>
      <c r="AY101" s="9">
        <v>32790</v>
      </c>
      <c r="AZ101" s="9">
        <v>32920</v>
      </c>
      <c r="BA101" s="9">
        <v>33020</v>
      </c>
      <c r="BB101" s="9">
        <v>33090</v>
      </c>
      <c r="BC101" s="9">
        <v>33130</v>
      </c>
      <c r="BD101" s="9">
        <v>33140</v>
      </c>
      <c r="BE101" s="9">
        <v>33120</v>
      </c>
      <c r="BF101" s="9">
        <v>33070</v>
      </c>
      <c r="BG101" s="9">
        <v>33010</v>
      </c>
      <c r="BH101" s="9">
        <v>32930</v>
      </c>
      <c r="BI101" s="9">
        <v>32860</v>
      </c>
      <c r="BJ101" s="9">
        <v>32790</v>
      </c>
      <c r="BK101" s="9">
        <v>32750</v>
      </c>
      <c r="BL101" s="9">
        <v>32720</v>
      </c>
      <c r="BM101" s="9">
        <v>32720</v>
      </c>
      <c r="BN101" s="9">
        <v>32740</v>
      </c>
      <c r="BO101" s="9">
        <v>32780</v>
      </c>
    </row>
    <row r="102" spans="3:67" x14ac:dyDescent="0.2">
      <c r="C102" s="3">
        <v>30</v>
      </c>
      <c r="E102" s="9">
        <v>23170</v>
      </c>
      <c r="F102" s="9">
        <v>23120</v>
      </c>
      <c r="G102" s="9">
        <v>22930</v>
      </c>
      <c r="H102" s="9">
        <v>23690</v>
      </c>
      <c r="I102" s="9">
        <v>24460</v>
      </c>
      <c r="J102" s="9">
        <v>25250</v>
      </c>
      <c r="K102" s="9">
        <v>26040</v>
      </c>
      <c r="L102" s="9">
        <v>27070</v>
      </c>
      <c r="M102" s="9">
        <v>25000</v>
      </c>
      <c r="N102" s="9">
        <v>25800</v>
      </c>
      <c r="O102" s="9">
        <v>26970</v>
      </c>
      <c r="P102" s="9">
        <v>28020</v>
      </c>
      <c r="Q102" s="9">
        <v>29380</v>
      </c>
      <c r="R102" s="9">
        <v>31080</v>
      </c>
      <c r="S102" s="9">
        <v>32640</v>
      </c>
      <c r="T102" s="9">
        <v>34130</v>
      </c>
      <c r="U102" s="9">
        <v>33900</v>
      </c>
      <c r="V102" s="9">
        <v>34120</v>
      </c>
      <c r="W102" s="9">
        <v>33920</v>
      </c>
      <c r="X102" s="9">
        <v>34150</v>
      </c>
      <c r="Y102" s="9">
        <v>34140</v>
      </c>
      <c r="Z102" s="9">
        <v>33270</v>
      </c>
      <c r="AA102" s="9">
        <v>32870</v>
      </c>
      <c r="AB102" s="9">
        <v>32220</v>
      </c>
      <c r="AC102" s="9">
        <v>32920</v>
      </c>
      <c r="AD102" s="9">
        <v>32140</v>
      </c>
      <c r="AE102" s="9">
        <v>30690</v>
      </c>
      <c r="AF102" s="9">
        <v>30880</v>
      </c>
      <c r="AG102" s="9">
        <v>31350</v>
      </c>
      <c r="AH102" s="9">
        <v>31110</v>
      </c>
      <c r="AI102" s="9">
        <v>31530</v>
      </c>
      <c r="AJ102" s="9">
        <v>32950</v>
      </c>
      <c r="AK102" s="9">
        <v>34100</v>
      </c>
      <c r="AL102" s="9">
        <v>34300</v>
      </c>
      <c r="AM102" s="9">
        <v>34370</v>
      </c>
      <c r="AN102" s="9">
        <v>33520</v>
      </c>
      <c r="AO102" s="9">
        <v>33020</v>
      </c>
      <c r="AP102" s="9">
        <v>32530</v>
      </c>
      <c r="AQ102" s="9">
        <v>31820</v>
      </c>
      <c r="AR102" s="9">
        <v>31360</v>
      </c>
      <c r="AS102" s="9">
        <v>31720</v>
      </c>
      <c r="AT102" s="9">
        <v>32020</v>
      </c>
      <c r="AU102" s="9">
        <v>32290</v>
      </c>
      <c r="AV102" s="9">
        <v>32550</v>
      </c>
      <c r="AW102" s="9">
        <v>32800</v>
      </c>
      <c r="AX102" s="9">
        <v>33020</v>
      </c>
      <c r="AY102" s="9">
        <v>33210</v>
      </c>
      <c r="AZ102" s="9">
        <v>33380</v>
      </c>
      <c r="BA102" s="9">
        <v>33510</v>
      </c>
      <c r="BB102" s="9">
        <v>33610</v>
      </c>
      <c r="BC102" s="9">
        <v>33680</v>
      </c>
      <c r="BD102" s="9">
        <v>33720</v>
      </c>
      <c r="BE102" s="9">
        <v>33730</v>
      </c>
      <c r="BF102" s="9">
        <v>33710</v>
      </c>
      <c r="BG102" s="9">
        <v>33660</v>
      </c>
      <c r="BH102" s="9">
        <v>33600</v>
      </c>
      <c r="BI102" s="9">
        <v>33530</v>
      </c>
      <c r="BJ102" s="9">
        <v>33450</v>
      </c>
      <c r="BK102" s="9">
        <v>33380</v>
      </c>
      <c r="BL102" s="9">
        <v>33340</v>
      </c>
      <c r="BM102" s="9">
        <v>33320</v>
      </c>
      <c r="BN102" s="9">
        <v>33320</v>
      </c>
      <c r="BO102" s="9">
        <v>33330</v>
      </c>
    </row>
    <row r="103" spans="3:67" x14ac:dyDescent="0.2">
      <c r="C103" s="3">
        <v>31</v>
      </c>
      <c r="E103" s="9">
        <v>24120</v>
      </c>
      <c r="F103" s="9">
        <v>23500</v>
      </c>
      <c r="G103" s="9">
        <v>23470</v>
      </c>
      <c r="H103" s="9">
        <v>23290</v>
      </c>
      <c r="I103" s="9">
        <v>23980</v>
      </c>
      <c r="J103" s="9">
        <v>24690</v>
      </c>
      <c r="K103" s="9">
        <v>25430</v>
      </c>
      <c r="L103" s="9">
        <v>26260</v>
      </c>
      <c r="M103" s="9">
        <v>25220</v>
      </c>
      <c r="N103" s="9">
        <v>25890</v>
      </c>
      <c r="O103" s="9">
        <v>26480</v>
      </c>
      <c r="P103" s="9">
        <v>27430</v>
      </c>
      <c r="Q103" s="9">
        <v>28490</v>
      </c>
      <c r="R103" s="9">
        <v>29860</v>
      </c>
      <c r="S103" s="9">
        <v>31560</v>
      </c>
      <c r="T103" s="9">
        <v>33120</v>
      </c>
      <c r="U103" s="9">
        <v>34620</v>
      </c>
      <c r="V103" s="9">
        <v>34390</v>
      </c>
      <c r="W103" s="9">
        <v>34610</v>
      </c>
      <c r="X103" s="9">
        <v>34410</v>
      </c>
      <c r="Y103" s="9">
        <v>34640</v>
      </c>
      <c r="Z103" s="9">
        <v>34630</v>
      </c>
      <c r="AA103" s="9">
        <v>33750</v>
      </c>
      <c r="AB103" s="9">
        <v>33360</v>
      </c>
      <c r="AC103" s="9">
        <v>32710</v>
      </c>
      <c r="AD103" s="9">
        <v>33410</v>
      </c>
      <c r="AE103" s="9">
        <v>32630</v>
      </c>
      <c r="AF103" s="9">
        <v>31170</v>
      </c>
      <c r="AG103" s="9">
        <v>31360</v>
      </c>
      <c r="AH103" s="9">
        <v>31840</v>
      </c>
      <c r="AI103" s="9">
        <v>31590</v>
      </c>
      <c r="AJ103" s="9">
        <v>32020</v>
      </c>
      <c r="AK103" s="9">
        <v>33450</v>
      </c>
      <c r="AL103" s="9">
        <v>34590</v>
      </c>
      <c r="AM103" s="9">
        <v>34790</v>
      </c>
      <c r="AN103" s="9">
        <v>34870</v>
      </c>
      <c r="AO103" s="9">
        <v>34010</v>
      </c>
      <c r="AP103" s="9">
        <v>33520</v>
      </c>
      <c r="AQ103" s="9">
        <v>33020</v>
      </c>
      <c r="AR103" s="9">
        <v>32310</v>
      </c>
      <c r="AS103" s="9">
        <v>31850</v>
      </c>
      <c r="AT103" s="9">
        <v>32210</v>
      </c>
      <c r="AU103" s="9">
        <v>32510</v>
      </c>
      <c r="AV103" s="9">
        <v>32780</v>
      </c>
      <c r="AW103" s="9">
        <v>33040</v>
      </c>
      <c r="AX103" s="9">
        <v>33290</v>
      </c>
      <c r="AY103" s="9">
        <v>33510</v>
      </c>
      <c r="AZ103" s="9">
        <v>33710</v>
      </c>
      <c r="BA103" s="9">
        <v>33880</v>
      </c>
      <c r="BB103" s="9">
        <v>34010</v>
      </c>
      <c r="BC103" s="9">
        <v>34110</v>
      </c>
      <c r="BD103" s="9">
        <v>34180</v>
      </c>
      <c r="BE103" s="9">
        <v>34220</v>
      </c>
      <c r="BF103" s="9">
        <v>34230</v>
      </c>
      <c r="BG103" s="9">
        <v>34210</v>
      </c>
      <c r="BH103" s="9">
        <v>34160</v>
      </c>
      <c r="BI103" s="9">
        <v>34100</v>
      </c>
      <c r="BJ103" s="9">
        <v>34020</v>
      </c>
      <c r="BK103" s="9">
        <v>33950</v>
      </c>
      <c r="BL103" s="9">
        <v>33880</v>
      </c>
      <c r="BM103" s="9">
        <v>33840</v>
      </c>
      <c r="BN103" s="9">
        <v>33810</v>
      </c>
      <c r="BO103" s="9">
        <v>33810</v>
      </c>
    </row>
    <row r="104" spans="3:67" x14ac:dyDescent="0.2">
      <c r="C104" s="3">
        <v>32</v>
      </c>
      <c r="E104" s="9">
        <v>25070</v>
      </c>
      <c r="F104" s="9">
        <v>24330</v>
      </c>
      <c r="G104" s="9">
        <v>23700</v>
      </c>
      <c r="H104" s="9">
        <v>23700</v>
      </c>
      <c r="I104" s="9">
        <v>23460</v>
      </c>
      <c r="J104" s="9">
        <v>24100</v>
      </c>
      <c r="K104" s="9">
        <v>24780</v>
      </c>
      <c r="L104" s="9">
        <v>25550</v>
      </c>
      <c r="M104" s="9">
        <v>24610</v>
      </c>
      <c r="N104" s="9">
        <v>25840</v>
      </c>
      <c r="O104" s="9">
        <v>26340</v>
      </c>
      <c r="P104" s="9">
        <v>26750</v>
      </c>
      <c r="Q104" s="9">
        <v>27700</v>
      </c>
      <c r="R104" s="9">
        <v>28760</v>
      </c>
      <c r="S104" s="9">
        <v>30130</v>
      </c>
      <c r="T104" s="9">
        <v>31840</v>
      </c>
      <c r="U104" s="9">
        <v>33400</v>
      </c>
      <c r="V104" s="9">
        <v>34900</v>
      </c>
      <c r="W104" s="9">
        <v>34670</v>
      </c>
      <c r="X104" s="9">
        <v>34890</v>
      </c>
      <c r="Y104" s="9">
        <v>34690</v>
      </c>
      <c r="Z104" s="9">
        <v>34920</v>
      </c>
      <c r="AA104" s="9">
        <v>34910</v>
      </c>
      <c r="AB104" s="9">
        <v>34040</v>
      </c>
      <c r="AC104" s="9">
        <v>33640</v>
      </c>
      <c r="AD104" s="9">
        <v>32990</v>
      </c>
      <c r="AE104" s="9">
        <v>33690</v>
      </c>
      <c r="AF104" s="9">
        <v>32910</v>
      </c>
      <c r="AG104" s="9">
        <v>31450</v>
      </c>
      <c r="AH104" s="9">
        <v>31640</v>
      </c>
      <c r="AI104" s="9">
        <v>32120</v>
      </c>
      <c r="AJ104" s="9">
        <v>31870</v>
      </c>
      <c r="AK104" s="9">
        <v>32300</v>
      </c>
      <c r="AL104" s="9">
        <v>33730</v>
      </c>
      <c r="AM104" s="9">
        <v>34880</v>
      </c>
      <c r="AN104" s="9">
        <v>35080</v>
      </c>
      <c r="AO104" s="9">
        <v>35150</v>
      </c>
      <c r="AP104" s="9">
        <v>34300</v>
      </c>
      <c r="AQ104" s="9">
        <v>33800</v>
      </c>
      <c r="AR104" s="9">
        <v>33300</v>
      </c>
      <c r="AS104" s="9">
        <v>32590</v>
      </c>
      <c r="AT104" s="9">
        <v>32130</v>
      </c>
      <c r="AU104" s="9">
        <v>32490</v>
      </c>
      <c r="AV104" s="9">
        <v>32800</v>
      </c>
      <c r="AW104" s="9">
        <v>33060</v>
      </c>
      <c r="AX104" s="9">
        <v>33330</v>
      </c>
      <c r="AY104" s="9">
        <v>33580</v>
      </c>
      <c r="AZ104" s="9">
        <v>33800</v>
      </c>
      <c r="BA104" s="9">
        <v>34000</v>
      </c>
      <c r="BB104" s="9">
        <v>34160</v>
      </c>
      <c r="BC104" s="9">
        <v>34300</v>
      </c>
      <c r="BD104" s="9">
        <v>34400</v>
      </c>
      <c r="BE104" s="9">
        <v>34470</v>
      </c>
      <c r="BF104" s="9">
        <v>34510</v>
      </c>
      <c r="BG104" s="9">
        <v>34520</v>
      </c>
      <c r="BH104" s="9">
        <v>34500</v>
      </c>
      <c r="BI104" s="9">
        <v>34450</v>
      </c>
      <c r="BJ104" s="9">
        <v>34390</v>
      </c>
      <c r="BK104" s="9">
        <v>34310</v>
      </c>
      <c r="BL104" s="9">
        <v>34240</v>
      </c>
      <c r="BM104" s="9">
        <v>34170</v>
      </c>
      <c r="BN104" s="9">
        <v>34130</v>
      </c>
      <c r="BO104" s="9">
        <v>34110</v>
      </c>
    </row>
    <row r="105" spans="3:67" x14ac:dyDescent="0.2">
      <c r="C105" s="3">
        <v>33</v>
      </c>
      <c r="E105" s="9">
        <v>26240</v>
      </c>
      <c r="F105" s="9">
        <v>25280</v>
      </c>
      <c r="G105" s="9">
        <v>24460</v>
      </c>
      <c r="H105" s="9">
        <v>23890</v>
      </c>
      <c r="I105" s="9">
        <v>23800</v>
      </c>
      <c r="J105" s="9">
        <v>23500</v>
      </c>
      <c r="K105" s="9">
        <v>24140</v>
      </c>
      <c r="L105" s="9">
        <v>24850</v>
      </c>
      <c r="M105" s="9">
        <v>24560</v>
      </c>
      <c r="N105" s="9">
        <v>25130</v>
      </c>
      <c r="O105" s="9">
        <v>26190</v>
      </c>
      <c r="P105" s="9">
        <v>26520</v>
      </c>
      <c r="Q105" s="9">
        <v>26930</v>
      </c>
      <c r="R105" s="9">
        <v>27880</v>
      </c>
      <c r="S105" s="9">
        <v>28940</v>
      </c>
      <c r="T105" s="9">
        <v>30320</v>
      </c>
      <c r="U105" s="9">
        <v>32030</v>
      </c>
      <c r="V105" s="9">
        <v>33600</v>
      </c>
      <c r="W105" s="9">
        <v>35100</v>
      </c>
      <c r="X105" s="9">
        <v>34870</v>
      </c>
      <c r="Y105" s="9">
        <v>35090</v>
      </c>
      <c r="Z105" s="9">
        <v>34890</v>
      </c>
      <c r="AA105" s="9">
        <v>35120</v>
      </c>
      <c r="AB105" s="9">
        <v>35110</v>
      </c>
      <c r="AC105" s="9">
        <v>34240</v>
      </c>
      <c r="AD105" s="9">
        <v>33840</v>
      </c>
      <c r="AE105" s="9">
        <v>33190</v>
      </c>
      <c r="AF105" s="9">
        <v>33890</v>
      </c>
      <c r="AG105" s="9">
        <v>33100</v>
      </c>
      <c r="AH105" s="9">
        <v>31650</v>
      </c>
      <c r="AI105" s="9">
        <v>31830</v>
      </c>
      <c r="AJ105" s="9">
        <v>32310</v>
      </c>
      <c r="AK105" s="9">
        <v>32070</v>
      </c>
      <c r="AL105" s="9">
        <v>32500</v>
      </c>
      <c r="AM105" s="9">
        <v>33930</v>
      </c>
      <c r="AN105" s="9">
        <v>35080</v>
      </c>
      <c r="AO105" s="9">
        <v>35280</v>
      </c>
      <c r="AP105" s="9">
        <v>35360</v>
      </c>
      <c r="AQ105" s="9">
        <v>34500</v>
      </c>
      <c r="AR105" s="9">
        <v>34000</v>
      </c>
      <c r="AS105" s="9">
        <v>33500</v>
      </c>
      <c r="AT105" s="9">
        <v>32790</v>
      </c>
      <c r="AU105" s="9">
        <v>32330</v>
      </c>
      <c r="AV105" s="9">
        <v>32690</v>
      </c>
      <c r="AW105" s="9">
        <v>33000</v>
      </c>
      <c r="AX105" s="9">
        <v>33270</v>
      </c>
      <c r="AY105" s="9">
        <v>33530</v>
      </c>
      <c r="AZ105" s="9">
        <v>33780</v>
      </c>
      <c r="BA105" s="9">
        <v>34010</v>
      </c>
      <c r="BB105" s="9">
        <v>34200</v>
      </c>
      <c r="BC105" s="9">
        <v>34370</v>
      </c>
      <c r="BD105" s="9">
        <v>34510</v>
      </c>
      <c r="BE105" s="9">
        <v>34610</v>
      </c>
      <c r="BF105" s="9">
        <v>34680</v>
      </c>
      <c r="BG105" s="9">
        <v>34720</v>
      </c>
      <c r="BH105" s="9">
        <v>34730</v>
      </c>
      <c r="BI105" s="9">
        <v>34710</v>
      </c>
      <c r="BJ105" s="9">
        <v>34660</v>
      </c>
      <c r="BK105" s="9">
        <v>34600</v>
      </c>
      <c r="BL105" s="9">
        <v>34520</v>
      </c>
      <c r="BM105" s="9">
        <v>34450</v>
      </c>
      <c r="BN105" s="9">
        <v>34380</v>
      </c>
      <c r="BO105" s="9">
        <v>34340</v>
      </c>
    </row>
    <row r="106" spans="3:67" x14ac:dyDescent="0.2">
      <c r="C106" s="3">
        <v>34</v>
      </c>
      <c r="E106" s="9">
        <v>27590</v>
      </c>
      <c r="F106" s="9">
        <v>26490</v>
      </c>
      <c r="G106" s="9">
        <v>25400</v>
      </c>
      <c r="H106" s="9">
        <v>24650</v>
      </c>
      <c r="I106" s="9">
        <v>24000</v>
      </c>
      <c r="J106" s="9">
        <v>23880</v>
      </c>
      <c r="K106" s="9">
        <v>23500</v>
      </c>
      <c r="L106" s="9">
        <v>24170</v>
      </c>
      <c r="M106" s="9">
        <v>24130</v>
      </c>
      <c r="N106" s="9">
        <v>25050</v>
      </c>
      <c r="O106" s="9">
        <v>25450</v>
      </c>
      <c r="P106" s="9">
        <v>26350</v>
      </c>
      <c r="Q106" s="9">
        <v>26680</v>
      </c>
      <c r="R106" s="9">
        <v>27090</v>
      </c>
      <c r="S106" s="9">
        <v>28040</v>
      </c>
      <c r="T106" s="9">
        <v>29100</v>
      </c>
      <c r="U106" s="9">
        <v>30480</v>
      </c>
      <c r="V106" s="9">
        <v>32190</v>
      </c>
      <c r="W106" s="9">
        <v>33760</v>
      </c>
      <c r="X106" s="9">
        <v>35270</v>
      </c>
      <c r="Y106" s="9">
        <v>35030</v>
      </c>
      <c r="Z106" s="9">
        <v>35260</v>
      </c>
      <c r="AA106" s="9">
        <v>35060</v>
      </c>
      <c r="AB106" s="9">
        <v>35290</v>
      </c>
      <c r="AC106" s="9">
        <v>35280</v>
      </c>
      <c r="AD106" s="9">
        <v>34410</v>
      </c>
      <c r="AE106" s="9">
        <v>34010</v>
      </c>
      <c r="AF106" s="9">
        <v>33360</v>
      </c>
      <c r="AG106" s="9">
        <v>34060</v>
      </c>
      <c r="AH106" s="9">
        <v>33280</v>
      </c>
      <c r="AI106" s="9">
        <v>31820</v>
      </c>
      <c r="AJ106" s="9">
        <v>32000</v>
      </c>
      <c r="AK106" s="9">
        <v>32480</v>
      </c>
      <c r="AL106" s="9">
        <v>32240</v>
      </c>
      <c r="AM106" s="9">
        <v>32670</v>
      </c>
      <c r="AN106" s="9">
        <v>34100</v>
      </c>
      <c r="AO106" s="9">
        <v>35260</v>
      </c>
      <c r="AP106" s="9">
        <v>35460</v>
      </c>
      <c r="AQ106" s="9">
        <v>35540</v>
      </c>
      <c r="AR106" s="9">
        <v>34680</v>
      </c>
      <c r="AS106" s="9">
        <v>34180</v>
      </c>
      <c r="AT106" s="9">
        <v>33680</v>
      </c>
      <c r="AU106" s="9">
        <v>32970</v>
      </c>
      <c r="AV106" s="9">
        <v>32500</v>
      </c>
      <c r="AW106" s="9">
        <v>32870</v>
      </c>
      <c r="AX106" s="9">
        <v>33170</v>
      </c>
      <c r="AY106" s="9">
        <v>33440</v>
      </c>
      <c r="AZ106" s="9">
        <v>33710</v>
      </c>
      <c r="BA106" s="9">
        <v>33960</v>
      </c>
      <c r="BB106" s="9">
        <v>34180</v>
      </c>
      <c r="BC106" s="9">
        <v>34380</v>
      </c>
      <c r="BD106" s="9">
        <v>34550</v>
      </c>
      <c r="BE106" s="9">
        <v>34690</v>
      </c>
      <c r="BF106" s="9">
        <v>34790</v>
      </c>
      <c r="BG106" s="9">
        <v>34860</v>
      </c>
      <c r="BH106" s="9">
        <v>34900</v>
      </c>
      <c r="BI106" s="9">
        <v>34910</v>
      </c>
      <c r="BJ106" s="9">
        <v>34890</v>
      </c>
      <c r="BK106" s="9">
        <v>34840</v>
      </c>
      <c r="BL106" s="9">
        <v>34780</v>
      </c>
      <c r="BM106" s="9">
        <v>34700</v>
      </c>
      <c r="BN106" s="9">
        <v>34630</v>
      </c>
      <c r="BO106" s="9">
        <v>34560</v>
      </c>
    </row>
    <row r="107" spans="3:67" x14ac:dyDescent="0.2">
      <c r="C107" s="3">
        <v>35</v>
      </c>
      <c r="E107" s="9">
        <v>28030</v>
      </c>
      <c r="F107" s="9">
        <v>27740</v>
      </c>
      <c r="G107" s="9">
        <v>26530</v>
      </c>
      <c r="H107" s="9">
        <v>25460</v>
      </c>
      <c r="I107" s="9">
        <v>24720</v>
      </c>
      <c r="J107" s="9">
        <v>23980</v>
      </c>
      <c r="K107" s="9">
        <v>23820</v>
      </c>
      <c r="L107" s="9">
        <v>23460</v>
      </c>
      <c r="M107" s="9">
        <v>23850</v>
      </c>
      <c r="N107" s="9">
        <v>24550</v>
      </c>
      <c r="O107" s="9">
        <v>25310</v>
      </c>
      <c r="P107" s="9">
        <v>25550</v>
      </c>
      <c r="Q107" s="9">
        <v>26450</v>
      </c>
      <c r="R107" s="9">
        <v>26780</v>
      </c>
      <c r="S107" s="9">
        <v>27190</v>
      </c>
      <c r="T107" s="9">
        <v>28140</v>
      </c>
      <c r="U107" s="9">
        <v>29210</v>
      </c>
      <c r="V107" s="9">
        <v>30580</v>
      </c>
      <c r="W107" s="9">
        <v>32290</v>
      </c>
      <c r="X107" s="9">
        <v>33860</v>
      </c>
      <c r="Y107" s="9">
        <v>35370</v>
      </c>
      <c r="Z107" s="9">
        <v>35130</v>
      </c>
      <c r="AA107" s="9">
        <v>35360</v>
      </c>
      <c r="AB107" s="9">
        <v>35160</v>
      </c>
      <c r="AC107" s="9">
        <v>35390</v>
      </c>
      <c r="AD107" s="9">
        <v>35380</v>
      </c>
      <c r="AE107" s="9">
        <v>34510</v>
      </c>
      <c r="AF107" s="9">
        <v>34110</v>
      </c>
      <c r="AG107" s="9">
        <v>33460</v>
      </c>
      <c r="AH107" s="9">
        <v>34170</v>
      </c>
      <c r="AI107" s="9">
        <v>33380</v>
      </c>
      <c r="AJ107" s="9">
        <v>31920</v>
      </c>
      <c r="AK107" s="9">
        <v>32110</v>
      </c>
      <c r="AL107" s="9">
        <v>32590</v>
      </c>
      <c r="AM107" s="9">
        <v>32350</v>
      </c>
      <c r="AN107" s="9">
        <v>32770</v>
      </c>
      <c r="AO107" s="9">
        <v>34210</v>
      </c>
      <c r="AP107" s="9">
        <v>35360</v>
      </c>
      <c r="AQ107" s="9">
        <v>35570</v>
      </c>
      <c r="AR107" s="9">
        <v>35640</v>
      </c>
      <c r="AS107" s="9">
        <v>34790</v>
      </c>
      <c r="AT107" s="9">
        <v>34290</v>
      </c>
      <c r="AU107" s="9">
        <v>33790</v>
      </c>
      <c r="AV107" s="9">
        <v>33070</v>
      </c>
      <c r="AW107" s="9">
        <v>32610</v>
      </c>
      <c r="AX107" s="9">
        <v>32970</v>
      </c>
      <c r="AY107" s="9">
        <v>33280</v>
      </c>
      <c r="AZ107" s="9">
        <v>33550</v>
      </c>
      <c r="BA107" s="9">
        <v>33810</v>
      </c>
      <c r="BB107" s="9">
        <v>34070</v>
      </c>
      <c r="BC107" s="9">
        <v>34290</v>
      </c>
      <c r="BD107" s="9">
        <v>34490</v>
      </c>
      <c r="BE107" s="9">
        <v>34660</v>
      </c>
      <c r="BF107" s="9">
        <v>34790</v>
      </c>
      <c r="BG107" s="9">
        <v>34900</v>
      </c>
      <c r="BH107" s="9">
        <v>34970</v>
      </c>
      <c r="BI107" s="9">
        <v>35010</v>
      </c>
      <c r="BJ107" s="9">
        <v>35020</v>
      </c>
      <c r="BK107" s="9">
        <v>35000</v>
      </c>
      <c r="BL107" s="9">
        <v>34950</v>
      </c>
      <c r="BM107" s="9">
        <v>34890</v>
      </c>
      <c r="BN107" s="9">
        <v>34820</v>
      </c>
      <c r="BO107" s="9">
        <v>34740</v>
      </c>
    </row>
    <row r="108" spans="3:67" x14ac:dyDescent="0.2">
      <c r="C108" s="3">
        <v>36</v>
      </c>
      <c r="E108" s="9">
        <v>27600</v>
      </c>
      <c r="F108" s="9">
        <v>28150</v>
      </c>
      <c r="G108" s="9">
        <v>27830</v>
      </c>
      <c r="H108" s="9">
        <v>26590</v>
      </c>
      <c r="I108" s="9">
        <v>25490</v>
      </c>
      <c r="J108" s="9">
        <v>24680</v>
      </c>
      <c r="K108" s="9">
        <v>23890</v>
      </c>
      <c r="L108" s="9">
        <v>23750</v>
      </c>
      <c r="M108" s="9">
        <v>23470</v>
      </c>
      <c r="N108" s="9">
        <v>24250</v>
      </c>
      <c r="O108" s="9">
        <v>24800</v>
      </c>
      <c r="P108" s="9">
        <v>25410</v>
      </c>
      <c r="Q108" s="9">
        <v>25650</v>
      </c>
      <c r="R108" s="9">
        <v>26550</v>
      </c>
      <c r="S108" s="9">
        <v>26870</v>
      </c>
      <c r="T108" s="9">
        <v>27280</v>
      </c>
      <c r="U108" s="9">
        <v>28240</v>
      </c>
      <c r="V108" s="9">
        <v>29300</v>
      </c>
      <c r="W108" s="9">
        <v>30670</v>
      </c>
      <c r="X108" s="9">
        <v>32390</v>
      </c>
      <c r="Y108" s="9">
        <v>33950</v>
      </c>
      <c r="Z108" s="9">
        <v>35450</v>
      </c>
      <c r="AA108" s="9">
        <v>35220</v>
      </c>
      <c r="AB108" s="9">
        <v>35450</v>
      </c>
      <c r="AC108" s="9">
        <v>35250</v>
      </c>
      <c r="AD108" s="9">
        <v>35490</v>
      </c>
      <c r="AE108" s="9">
        <v>35470</v>
      </c>
      <c r="AF108" s="9">
        <v>34600</v>
      </c>
      <c r="AG108" s="9">
        <v>34210</v>
      </c>
      <c r="AH108" s="9">
        <v>33550</v>
      </c>
      <c r="AI108" s="9">
        <v>34260</v>
      </c>
      <c r="AJ108" s="9">
        <v>33470</v>
      </c>
      <c r="AK108" s="9">
        <v>32020</v>
      </c>
      <c r="AL108" s="9">
        <v>32200</v>
      </c>
      <c r="AM108" s="9">
        <v>32680</v>
      </c>
      <c r="AN108" s="9">
        <v>32440</v>
      </c>
      <c r="AO108" s="9">
        <v>32870</v>
      </c>
      <c r="AP108" s="9">
        <v>34310</v>
      </c>
      <c r="AQ108" s="9">
        <v>35460</v>
      </c>
      <c r="AR108" s="9">
        <v>35660</v>
      </c>
      <c r="AS108" s="9">
        <v>35740</v>
      </c>
      <c r="AT108" s="9">
        <v>34880</v>
      </c>
      <c r="AU108" s="9">
        <v>34380</v>
      </c>
      <c r="AV108" s="9">
        <v>33880</v>
      </c>
      <c r="AW108" s="9">
        <v>33170</v>
      </c>
      <c r="AX108" s="9">
        <v>32710</v>
      </c>
      <c r="AY108" s="9">
        <v>33070</v>
      </c>
      <c r="AZ108" s="9">
        <v>33380</v>
      </c>
      <c r="BA108" s="9">
        <v>33650</v>
      </c>
      <c r="BB108" s="9">
        <v>33910</v>
      </c>
      <c r="BC108" s="9">
        <v>34170</v>
      </c>
      <c r="BD108" s="9">
        <v>34390</v>
      </c>
      <c r="BE108" s="9">
        <v>34590</v>
      </c>
      <c r="BF108" s="9">
        <v>34760</v>
      </c>
      <c r="BG108" s="9">
        <v>34900</v>
      </c>
      <c r="BH108" s="9">
        <v>35000</v>
      </c>
      <c r="BI108" s="9">
        <v>35070</v>
      </c>
      <c r="BJ108" s="9">
        <v>35110</v>
      </c>
      <c r="BK108" s="9">
        <v>35120</v>
      </c>
      <c r="BL108" s="9">
        <v>35100</v>
      </c>
      <c r="BM108" s="9">
        <v>35060</v>
      </c>
      <c r="BN108" s="9">
        <v>34990</v>
      </c>
      <c r="BO108" s="9">
        <v>34920</v>
      </c>
    </row>
    <row r="109" spans="3:67" x14ac:dyDescent="0.2">
      <c r="C109" s="3">
        <v>37</v>
      </c>
      <c r="E109" s="9">
        <v>27940</v>
      </c>
      <c r="F109" s="9">
        <v>27720</v>
      </c>
      <c r="G109" s="9">
        <v>28230</v>
      </c>
      <c r="H109" s="9">
        <v>27880</v>
      </c>
      <c r="I109" s="9">
        <v>26650</v>
      </c>
      <c r="J109" s="9">
        <v>25460</v>
      </c>
      <c r="K109" s="9">
        <v>24580</v>
      </c>
      <c r="L109" s="9">
        <v>23810</v>
      </c>
      <c r="M109" s="9">
        <v>24160</v>
      </c>
      <c r="N109" s="9">
        <v>23850</v>
      </c>
      <c r="O109" s="9">
        <v>24490</v>
      </c>
      <c r="P109" s="9">
        <v>24880</v>
      </c>
      <c r="Q109" s="9">
        <v>25490</v>
      </c>
      <c r="R109" s="9">
        <v>25730</v>
      </c>
      <c r="S109" s="9">
        <v>26630</v>
      </c>
      <c r="T109" s="9">
        <v>26960</v>
      </c>
      <c r="U109" s="9">
        <v>27370</v>
      </c>
      <c r="V109" s="9">
        <v>28320</v>
      </c>
      <c r="W109" s="9">
        <v>29380</v>
      </c>
      <c r="X109" s="9">
        <v>30750</v>
      </c>
      <c r="Y109" s="9">
        <v>32470</v>
      </c>
      <c r="Z109" s="9">
        <v>34030</v>
      </c>
      <c r="AA109" s="9">
        <v>35530</v>
      </c>
      <c r="AB109" s="9">
        <v>35300</v>
      </c>
      <c r="AC109" s="9">
        <v>35530</v>
      </c>
      <c r="AD109" s="9">
        <v>35330</v>
      </c>
      <c r="AE109" s="9">
        <v>35570</v>
      </c>
      <c r="AF109" s="9">
        <v>35560</v>
      </c>
      <c r="AG109" s="9">
        <v>34680</v>
      </c>
      <c r="AH109" s="9">
        <v>34290</v>
      </c>
      <c r="AI109" s="9">
        <v>33640</v>
      </c>
      <c r="AJ109" s="9">
        <v>34340</v>
      </c>
      <c r="AK109" s="9">
        <v>33560</v>
      </c>
      <c r="AL109" s="9">
        <v>32100</v>
      </c>
      <c r="AM109" s="9">
        <v>32290</v>
      </c>
      <c r="AN109" s="9">
        <v>32770</v>
      </c>
      <c r="AO109" s="9">
        <v>32530</v>
      </c>
      <c r="AP109" s="9">
        <v>32960</v>
      </c>
      <c r="AQ109" s="9">
        <v>34390</v>
      </c>
      <c r="AR109" s="9">
        <v>35540</v>
      </c>
      <c r="AS109" s="9">
        <v>35750</v>
      </c>
      <c r="AT109" s="9">
        <v>35820</v>
      </c>
      <c r="AU109" s="9">
        <v>34970</v>
      </c>
      <c r="AV109" s="9">
        <v>34470</v>
      </c>
      <c r="AW109" s="9">
        <v>33970</v>
      </c>
      <c r="AX109" s="9">
        <v>33260</v>
      </c>
      <c r="AY109" s="9">
        <v>32800</v>
      </c>
      <c r="AZ109" s="9">
        <v>33160</v>
      </c>
      <c r="BA109" s="9">
        <v>33470</v>
      </c>
      <c r="BB109" s="9">
        <v>33740</v>
      </c>
      <c r="BC109" s="9">
        <v>34000</v>
      </c>
      <c r="BD109" s="9">
        <v>34260</v>
      </c>
      <c r="BE109" s="9">
        <v>34480</v>
      </c>
      <c r="BF109" s="9">
        <v>34680</v>
      </c>
      <c r="BG109" s="9">
        <v>34850</v>
      </c>
      <c r="BH109" s="9">
        <v>34990</v>
      </c>
      <c r="BI109" s="9">
        <v>35090</v>
      </c>
      <c r="BJ109" s="9">
        <v>35160</v>
      </c>
      <c r="BK109" s="9">
        <v>35200</v>
      </c>
      <c r="BL109" s="9">
        <v>35210</v>
      </c>
      <c r="BM109" s="9">
        <v>35200</v>
      </c>
      <c r="BN109" s="9">
        <v>35150</v>
      </c>
      <c r="BO109" s="9">
        <v>35090</v>
      </c>
    </row>
    <row r="110" spans="3:67" x14ac:dyDescent="0.2">
      <c r="C110" s="3">
        <v>38</v>
      </c>
      <c r="E110" s="9">
        <v>27630</v>
      </c>
      <c r="F110" s="9">
        <v>28060</v>
      </c>
      <c r="G110" s="9">
        <v>27720</v>
      </c>
      <c r="H110" s="9">
        <v>28270</v>
      </c>
      <c r="I110" s="9">
        <v>27880</v>
      </c>
      <c r="J110" s="9">
        <v>26560</v>
      </c>
      <c r="K110" s="9">
        <v>25350</v>
      </c>
      <c r="L110" s="9">
        <v>24490</v>
      </c>
      <c r="M110" s="9">
        <v>24240</v>
      </c>
      <c r="N110" s="9">
        <v>24520</v>
      </c>
      <c r="O110" s="9">
        <v>24060</v>
      </c>
      <c r="P110" s="9">
        <v>24560</v>
      </c>
      <c r="Q110" s="9">
        <v>24950</v>
      </c>
      <c r="R110" s="9">
        <v>25570</v>
      </c>
      <c r="S110" s="9">
        <v>25810</v>
      </c>
      <c r="T110" s="9">
        <v>26700</v>
      </c>
      <c r="U110" s="9">
        <v>27030</v>
      </c>
      <c r="V110" s="9">
        <v>27440</v>
      </c>
      <c r="W110" s="9">
        <v>28390</v>
      </c>
      <c r="X110" s="9">
        <v>29450</v>
      </c>
      <c r="Y110" s="9">
        <v>30830</v>
      </c>
      <c r="Z110" s="9">
        <v>32540</v>
      </c>
      <c r="AA110" s="9">
        <v>34100</v>
      </c>
      <c r="AB110" s="9">
        <v>35600</v>
      </c>
      <c r="AC110" s="9">
        <v>35370</v>
      </c>
      <c r="AD110" s="9">
        <v>35600</v>
      </c>
      <c r="AE110" s="9">
        <v>35400</v>
      </c>
      <c r="AF110" s="9">
        <v>35640</v>
      </c>
      <c r="AG110" s="9">
        <v>35630</v>
      </c>
      <c r="AH110" s="9">
        <v>34750</v>
      </c>
      <c r="AI110" s="9">
        <v>34360</v>
      </c>
      <c r="AJ110" s="9">
        <v>33710</v>
      </c>
      <c r="AK110" s="9">
        <v>34420</v>
      </c>
      <c r="AL110" s="9">
        <v>33630</v>
      </c>
      <c r="AM110" s="9">
        <v>32180</v>
      </c>
      <c r="AN110" s="9">
        <v>32370</v>
      </c>
      <c r="AO110" s="9">
        <v>32850</v>
      </c>
      <c r="AP110" s="9">
        <v>32610</v>
      </c>
      <c r="AQ110" s="9">
        <v>33030</v>
      </c>
      <c r="AR110" s="9">
        <v>34470</v>
      </c>
      <c r="AS110" s="9">
        <v>35620</v>
      </c>
      <c r="AT110" s="9">
        <v>35820</v>
      </c>
      <c r="AU110" s="9">
        <v>35900</v>
      </c>
      <c r="AV110" s="9">
        <v>35050</v>
      </c>
      <c r="AW110" s="9">
        <v>34550</v>
      </c>
      <c r="AX110" s="9">
        <v>34050</v>
      </c>
      <c r="AY110" s="9">
        <v>33340</v>
      </c>
      <c r="AZ110" s="9">
        <v>32880</v>
      </c>
      <c r="BA110" s="9">
        <v>33240</v>
      </c>
      <c r="BB110" s="9">
        <v>33550</v>
      </c>
      <c r="BC110" s="9">
        <v>33820</v>
      </c>
      <c r="BD110" s="9">
        <v>34080</v>
      </c>
      <c r="BE110" s="9">
        <v>34340</v>
      </c>
      <c r="BF110" s="9">
        <v>34570</v>
      </c>
      <c r="BG110" s="9">
        <v>34760</v>
      </c>
      <c r="BH110" s="9">
        <v>34930</v>
      </c>
      <c r="BI110" s="9">
        <v>35070</v>
      </c>
      <c r="BJ110" s="9">
        <v>35170</v>
      </c>
      <c r="BK110" s="9">
        <v>35240</v>
      </c>
      <c r="BL110" s="9">
        <v>35290</v>
      </c>
      <c r="BM110" s="9">
        <v>35300</v>
      </c>
      <c r="BN110" s="9">
        <v>35280</v>
      </c>
      <c r="BO110" s="9">
        <v>35230</v>
      </c>
    </row>
    <row r="111" spans="3:67" x14ac:dyDescent="0.2">
      <c r="C111" s="3">
        <v>39</v>
      </c>
      <c r="E111" s="9">
        <v>27500</v>
      </c>
      <c r="F111" s="9">
        <v>27750</v>
      </c>
      <c r="G111" s="9">
        <v>28030</v>
      </c>
      <c r="H111" s="9">
        <v>27780</v>
      </c>
      <c r="I111" s="9">
        <v>28240</v>
      </c>
      <c r="J111" s="9">
        <v>27780</v>
      </c>
      <c r="K111" s="9">
        <v>26440</v>
      </c>
      <c r="L111" s="9">
        <v>25250</v>
      </c>
      <c r="M111" s="9">
        <v>25160</v>
      </c>
      <c r="N111" s="9">
        <v>24570</v>
      </c>
      <c r="O111" s="9">
        <v>24710</v>
      </c>
      <c r="P111" s="9">
        <v>24120</v>
      </c>
      <c r="Q111" s="9">
        <v>24620</v>
      </c>
      <c r="R111" s="9">
        <v>25010</v>
      </c>
      <c r="S111" s="9">
        <v>25620</v>
      </c>
      <c r="T111" s="9">
        <v>25860</v>
      </c>
      <c r="U111" s="9">
        <v>26760</v>
      </c>
      <c r="V111" s="9">
        <v>27090</v>
      </c>
      <c r="W111" s="9">
        <v>27500</v>
      </c>
      <c r="X111" s="9">
        <v>28450</v>
      </c>
      <c r="Y111" s="9">
        <v>29510</v>
      </c>
      <c r="Z111" s="9">
        <v>30880</v>
      </c>
      <c r="AA111" s="9">
        <v>32590</v>
      </c>
      <c r="AB111" s="9">
        <v>34160</v>
      </c>
      <c r="AC111" s="9">
        <v>35660</v>
      </c>
      <c r="AD111" s="9">
        <v>35430</v>
      </c>
      <c r="AE111" s="9">
        <v>35650</v>
      </c>
      <c r="AF111" s="9">
        <v>35460</v>
      </c>
      <c r="AG111" s="9">
        <v>35690</v>
      </c>
      <c r="AH111" s="9">
        <v>35680</v>
      </c>
      <c r="AI111" s="9">
        <v>34810</v>
      </c>
      <c r="AJ111" s="9">
        <v>34420</v>
      </c>
      <c r="AK111" s="9">
        <v>33770</v>
      </c>
      <c r="AL111" s="9">
        <v>34480</v>
      </c>
      <c r="AM111" s="9">
        <v>33690</v>
      </c>
      <c r="AN111" s="9">
        <v>32240</v>
      </c>
      <c r="AO111" s="9">
        <v>32430</v>
      </c>
      <c r="AP111" s="9">
        <v>32910</v>
      </c>
      <c r="AQ111" s="9">
        <v>32670</v>
      </c>
      <c r="AR111" s="9">
        <v>33100</v>
      </c>
      <c r="AS111" s="9">
        <v>34530</v>
      </c>
      <c r="AT111" s="9">
        <v>35680</v>
      </c>
      <c r="AU111" s="9">
        <v>35880</v>
      </c>
      <c r="AV111" s="9">
        <v>35960</v>
      </c>
      <c r="AW111" s="9">
        <v>35110</v>
      </c>
      <c r="AX111" s="9">
        <v>34610</v>
      </c>
      <c r="AY111" s="9">
        <v>34120</v>
      </c>
      <c r="AZ111" s="9">
        <v>33410</v>
      </c>
      <c r="BA111" s="9">
        <v>32950</v>
      </c>
      <c r="BB111" s="9">
        <v>33310</v>
      </c>
      <c r="BC111" s="9">
        <v>33620</v>
      </c>
      <c r="BD111" s="9">
        <v>33890</v>
      </c>
      <c r="BE111" s="9">
        <v>34150</v>
      </c>
      <c r="BF111" s="9">
        <v>34400</v>
      </c>
      <c r="BG111" s="9">
        <v>34630</v>
      </c>
      <c r="BH111" s="9">
        <v>34830</v>
      </c>
      <c r="BI111" s="9">
        <v>35000</v>
      </c>
      <c r="BJ111" s="9">
        <v>35130</v>
      </c>
      <c r="BK111" s="9">
        <v>35240</v>
      </c>
      <c r="BL111" s="9">
        <v>35310</v>
      </c>
      <c r="BM111" s="9">
        <v>35350</v>
      </c>
      <c r="BN111" s="9">
        <v>35360</v>
      </c>
      <c r="BO111" s="9">
        <v>35350</v>
      </c>
    </row>
    <row r="112" spans="3:67" x14ac:dyDescent="0.2">
      <c r="C112" s="3">
        <v>40</v>
      </c>
      <c r="E112" s="9">
        <v>27820</v>
      </c>
      <c r="F112" s="9">
        <v>27610</v>
      </c>
      <c r="G112" s="9">
        <v>27700</v>
      </c>
      <c r="H112" s="9">
        <v>28080</v>
      </c>
      <c r="I112" s="9">
        <v>27760</v>
      </c>
      <c r="J112" s="9">
        <v>28140</v>
      </c>
      <c r="K112" s="9">
        <v>27650</v>
      </c>
      <c r="L112" s="9">
        <v>26330</v>
      </c>
      <c r="M112" s="9">
        <v>26330</v>
      </c>
      <c r="N112" s="9">
        <v>25460</v>
      </c>
      <c r="O112" s="9">
        <v>24740</v>
      </c>
      <c r="P112" s="9">
        <v>24750</v>
      </c>
      <c r="Q112" s="9">
        <v>24160</v>
      </c>
      <c r="R112" s="9">
        <v>24660</v>
      </c>
      <c r="S112" s="9">
        <v>25050</v>
      </c>
      <c r="T112" s="9">
        <v>25660</v>
      </c>
      <c r="U112" s="9">
        <v>25900</v>
      </c>
      <c r="V112" s="9">
        <v>26800</v>
      </c>
      <c r="W112" s="9">
        <v>27130</v>
      </c>
      <c r="X112" s="9">
        <v>27540</v>
      </c>
      <c r="Y112" s="9">
        <v>28490</v>
      </c>
      <c r="Z112" s="9">
        <v>29550</v>
      </c>
      <c r="AA112" s="9">
        <v>30920</v>
      </c>
      <c r="AB112" s="9">
        <v>32630</v>
      </c>
      <c r="AC112" s="9">
        <v>34190</v>
      </c>
      <c r="AD112" s="9">
        <v>35690</v>
      </c>
      <c r="AE112" s="9">
        <v>35460</v>
      </c>
      <c r="AF112" s="9">
        <v>35690</v>
      </c>
      <c r="AG112" s="9">
        <v>35490</v>
      </c>
      <c r="AH112" s="9">
        <v>35730</v>
      </c>
      <c r="AI112" s="9">
        <v>35720</v>
      </c>
      <c r="AJ112" s="9">
        <v>34850</v>
      </c>
      <c r="AK112" s="9">
        <v>34460</v>
      </c>
      <c r="AL112" s="9">
        <v>33810</v>
      </c>
      <c r="AM112" s="9">
        <v>34520</v>
      </c>
      <c r="AN112" s="9">
        <v>33730</v>
      </c>
      <c r="AO112" s="9">
        <v>32280</v>
      </c>
      <c r="AP112" s="9">
        <v>32470</v>
      </c>
      <c r="AQ112" s="9">
        <v>32950</v>
      </c>
      <c r="AR112" s="9">
        <v>32710</v>
      </c>
      <c r="AS112" s="9">
        <v>33140</v>
      </c>
      <c r="AT112" s="9">
        <v>34570</v>
      </c>
      <c r="AU112" s="9">
        <v>35730</v>
      </c>
      <c r="AV112" s="9">
        <v>35930</v>
      </c>
      <c r="AW112" s="9">
        <v>36010</v>
      </c>
      <c r="AX112" s="9">
        <v>35150</v>
      </c>
      <c r="AY112" s="9">
        <v>34660</v>
      </c>
      <c r="AZ112" s="9">
        <v>34160</v>
      </c>
      <c r="BA112" s="9">
        <v>33450</v>
      </c>
      <c r="BB112" s="9">
        <v>32990</v>
      </c>
      <c r="BC112" s="9">
        <v>33360</v>
      </c>
      <c r="BD112" s="9">
        <v>33670</v>
      </c>
      <c r="BE112" s="9">
        <v>33930</v>
      </c>
      <c r="BF112" s="9">
        <v>34200</v>
      </c>
      <c r="BG112" s="9">
        <v>34450</v>
      </c>
      <c r="BH112" s="9">
        <v>34680</v>
      </c>
      <c r="BI112" s="9">
        <v>34880</v>
      </c>
      <c r="BJ112" s="9">
        <v>35050</v>
      </c>
      <c r="BK112" s="9">
        <v>35180</v>
      </c>
      <c r="BL112" s="9">
        <v>35290</v>
      </c>
      <c r="BM112" s="9">
        <v>35360</v>
      </c>
      <c r="BN112" s="9">
        <v>35400</v>
      </c>
      <c r="BO112" s="9">
        <v>35410</v>
      </c>
    </row>
    <row r="113" spans="3:67" x14ac:dyDescent="0.2">
      <c r="C113" s="3">
        <v>41</v>
      </c>
      <c r="E113" s="9">
        <v>28250</v>
      </c>
      <c r="F113" s="9">
        <v>27910</v>
      </c>
      <c r="G113" s="9">
        <v>27600</v>
      </c>
      <c r="H113" s="9">
        <v>27700</v>
      </c>
      <c r="I113" s="9">
        <v>28070</v>
      </c>
      <c r="J113" s="9">
        <v>27660</v>
      </c>
      <c r="K113" s="9">
        <v>28010</v>
      </c>
      <c r="L113" s="9">
        <v>27530</v>
      </c>
      <c r="M113" s="9">
        <v>27200</v>
      </c>
      <c r="N113" s="9">
        <v>26600</v>
      </c>
      <c r="O113" s="9">
        <v>25610</v>
      </c>
      <c r="P113" s="9">
        <v>24770</v>
      </c>
      <c r="Q113" s="9">
        <v>24780</v>
      </c>
      <c r="R113" s="9">
        <v>24190</v>
      </c>
      <c r="S113" s="9">
        <v>24690</v>
      </c>
      <c r="T113" s="9">
        <v>25080</v>
      </c>
      <c r="U113" s="9">
        <v>25690</v>
      </c>
      <c r="V113" s="9">
        <v>25930</v>
      </c>
      <c r="W113" s="9">
        <v>26830</v>
      </c>
      <c r="X113" s="9">
        <v>27160</v>
      </c>
      <c r="Y113" s="9">
        <v>27570</v>
      </c>
      <c r="Z113" s="9">
        <v>28520</v>
      </c>
      <c r="AA113" s="9">
        <v>29580</v>
      </c>
      <c r="AB113" s="9">
        <v>30950</v>
      </c>
      <c r="AC113" s="9">
        <v>32650</v>
      </c>
      <c r="AD113" s="9">
        <v>34220</v>
      </c>
      <c r="AE113" s="9">
        <v>35710</v>
      </c>
      <c r="AF113" s="9">
        <v>35490</v>
      </c>
      <c r="AG113" s="9">
        <v>35720</v>
      </c>
      <c r="AH113" s="9">
        <v>35520</v>
      </c>
      <c r="AI113" s="9">
        <v>35760</v>
      </c>
      <c r="AJ113" s="9">
        <v>35750</v>
      </c>
      <c r="AK113" s="9">
        <v>34880</v>
      </c>
      <c r="AL113" s="9">
        <v>34490</v>
      </c>
      <c r="AM113" s="9">
        <v>33840</v>
      </c>
      <c r="AN113" s="9">
        <v>34550</v>
      </c>
      <c r="AO113" s="9">
        <v>33770</v>
      </c>
      <c r="AP113" s="9">
        <v>32320</v>
      </c>
      <c r="AQ113" s="9">
        <v>32500</v>
      </c>
      <c r="AR113" s="9">
        <v>32990</v>
      </c>
      <c r="AS113" s="9">
        <v>32750</v>
      </c>
      <c r="AT113" s="9">
        <v>33180</v>
      </c>
      <c r="AU113" s="9">
        <v>34610</v>
      </c>
      <c r="AV113" s="9">
        <v>35760</v>
      </c>
      <c r="AW113" s="9">
        <v>35960</v>
      </c>
      <c r="AX113" s="9">
        <v>36040</v>
      </c>
      <c r="AY113" s="9">
        <v>35190</v>
      </c>
      <c r="AZ113" s="9">
        <v>34690</v>
      </c>
      <c r="BA113" s="9">
        <v>34200</v>
      </c>
      <c r="BB113" s="9">
        <v>33490</v>
      </c>
      <c r="BC113" s="9">
        <v>33030</v>
      </c>
      <c r="BD113" s="9">
        <v>33400</v>
      </c>
      <c r="BE113" s="9">
        <v>33700</v>
      </c>
      <c r="BF113" s="9">
        <v>33970</v>
      </c>
      <c r="BG113" s="9">
        <v>34240</v>
      </c>
      <c r="BH113" s="9">
        <v>34490</v>
      </c>
      <c r="BI113" s="9">
        <v>34720</v>
      </c>
      <c r="BJ113" s="9">
        <v>34920</v>
      </c>
      <c r="BK113" s="9">
        <v>35090</v>
      </c>
      <c r="BL113" s="9">
        <v>35220</v>
      </c>
      <c r="BM113" s="9">
        <v>35330</v>
      </c>
      <c r="BN113" s="9">
        <v>35400</v>
      </c>
      <c r="BO113" s="9">
        <v>35440</v>
      </c>
    </row>
    <row r="114" spans="3:67" x14ac:dyDescent="0.2">
      <c r="C114" s="3">
        <v>42</v>
      </c>
      <c r="E114" s="9">
        <v>29390</v>
      </c>
      <c r="F114" s="9">
        <v>28310</v>
      </c>
      <c r="G114" s="9">
        <v>27900</v>
      </c>
      <c r="H114" s="9">
        <v>27580</v>
      </c>
      <c r="I114" s="9">
        <v>27680</v>
      </c>
      <c r="J114" s="9">
        <v>27990</v>
      </c>
      <c r="K114" s="9">
        <v>27520</v>
      </c>
      <c r="L114" s="9">
        <v>27880</v>
      </c>
      <c r="M114" s="9">
        <v>28250</v>
      </c>
      <c r="N114" s="9">
        <v>27440</v>
      </c>
      <c r="O114" s="9">
        <v>26730</v>
      </c>
      <c r="P114" s="9">
        <v>25620</v>
      </c>
      <c r="Q114" s="9">
        <v>24780</v>
      </c>
      <c r="R114" s="9">
        <v>24800</v>
      </c>
      <c r="S114" s="9">
        <v>24210</v>
      </c>
      <c r="T114" s="9">
        <v>24710</v>
      </c>
      <c r="U114" s="9">
        <v>25100</v>
      </c>
      <c r="V114" s="9">
        <v>25710</v>
      </c>
      <c r="W114" s="9">
        <v>25950</v>
      </c>
      <c r="X114" s="9">
        <v>26850</v>
      </c>
      <c r="Y114" s="9">
        <v>27170</v>
      </c>
      <c r="Z114" s="9">
        <v>27590</v>
      </c>
      <c r="AA114" s="9">
        <v>28540</v>
      </c>
      <c r="AB114" s="9">
        <v>29590</v>
      </c>
      <c r="AC114" s="9">
        <v>30960</v>
      </c>
      <c r="AD114" s="9">
        <v>32670</v>
      </c>
      <c r="AE114" s="9">
        <v>34230</v>
      </c>
      <c r="AF114" s="9">
        <v>35730</v>
      </c>
      <c r="AG114" s="9">
        <v>35500</v>
      </c>
      <c r="AH114" s="9">
        <v>35730</v>
      </c>
      <c r="AI114" s="9">
        <v>35540</v>
      </c>
      <c r="AJ114" s="9">
        <v>35770</v>
      </c>
      <c r="AK114" s="9">
        <v>35760</v>
      </c>
      <c r="AL114" s="9">
        <v>34900</v>
      </c>
      <c r="AM114" s="9">
        <v>34510</v>
      </c>
      <c r="AN114" s="9">
        <v>33860</v>
      </c>
      <c r="AO114" s="9">
        <v>34570</v>
      </c>
      <c r="AP114" s="9">
        <v>33790</v>
      </c>
      <c r="AQ114" s="9">
        <v>32340</v>
      </c>
      <c r="AR114" s="9">
        <v>32530</v>
      </c>
      <c r="AS114" s="9">
        <v>33010</v>
      </c>
      <c r="AT114" s="9">
        <v>32770</v>
      </c>
      <c r="AU114" s="9">
        <v>33200</v>
      </c>
      <c r="AV114" s="9">
        <v>34630</v>
      </c>
      <c r="AW114" s="9">
        <v>35780</v>
      </c>
      <c r="AX114" s="9">
        <v>35990</v>
      </c>
      <c r="AY114" s="9">
        <v>36060</v>
      </c>
      <c r="AZ114" s="9">
        <v>35210</v>
      </c>
      <c r="BA114" s="9">
        <v>34720</v>
      </c>
      <c r="BB114" s="9">
        <v>34220</v>
      </c>
      <c r="BC114" s="9">
        <v>33520</v>
      </c>
      <c r="BD114" s="9">
        <v>33060</v>
      </c>
      <c r="BE114" s="9">
        <v>33420</v>
      </c>
      <c r="BF114" s="9">
        <v>33730</v>
      </c>
      <c r="BG114" s="9">
        <v>34000</v>
      </c>
      <c r="BH114" s="9">
        <v>34270</v>
      </c>
      <c r="BI114" s="9">
        <v>34520</v>
      </c>
      <c r="BJ114" s="9">
        <v>34750</v>
      </c>
      <c r="BK114" s="9">
        <v>34950</v>
      </c>
      <c r="BL114" s="9">
        <v>35120</v>
      </c>
      <c r="BM114" s="9">
        <v>35250</v>
      </c>
      <c r="BN114" s="9">
        <v>35360</v>
      </c>
      <c r="BO114" s="9">
        <v>35430</v>
      </c>
    </row>
    <row r="115" spans="3:67" x14ac:dyDescent="0.2">
      <c r="C115" s="3">
        <v>43</v>
      </c>
      <c r="E115" s="9">
        <v>29700</v>
      </c>
      <c r="F115" s="9">
        <v>29410</v>
      </c>
      <c r="G115" s="9">
        <v>28260</v>
      </c>
      <c r="H115" s="9">
        <v>27870</v>
      </c>
      <c r="I115" s="9">
        <v>27520</v>
      </c>
      <c r="J115" s="9">
        <v>27570</v>
      </c>
      <c r="K115" s="9">
        <v>27840</v>
      </c>
      <c r="L115" s="9">
        <v>27390</v>
      </c>
      <c r="M115" s="9">
        <v>28630</v>
      </c>
      <c r="N115" s="9">
        <v>28460</v>
      </c>
      <c r="O115" s="9">
        <v>27550</v>
      </c>
      <c r="P115" s="9">
        <v>26720</v>
      </c>
      <c r="Q115" s="9">
        <v>25620</v>
      </c>
      <c r="R115" s="9">
        <v>24780</v>
      </c>
      <c r="S115" s="9">
        <v>24800</v>
      </c>
      <c r="T115" s="9">
        <v>24210</v>
      </c>
      <c r="U115" s="9">
        <v>24710</v>
      </c>
      <c r="V115" s="9">
        <v>25100</v>
      </c>
      <c r="W115" s="9">
        <v>25710</v>
      </c>
      <c r="X115" s="9">
        <v>25950</v>
      </c>
      <c r="Y115" s="9">
        <v>26850</v>
      </c>
      <c r="Z115" s="9">
        <v>27180</v>
      </c>
      <c r="AA115" s="9">
        <v>27590</v>
      </c>
      <c r="AB115" s="9">
        <v>28540</v>
      </c>
      <c r="AC115" s="9">
        <v>29600</v>
      </c>
      <c r="AD115" s="9">
        <v>30960</v>
      </c>
      <c r="AE115" s="9">
        <v>32670</v>
      </c>
      <c r="AF115" s="9">
        <v>34230</v>
      </c>
      <c r="AG115" s="9">
        <v>35730</v>
      </c>
      <c r="AH115" s="9">
        <v>35500</v>
      </c>
      <c r="AI115" s="9">
        <v>35730</v>
      </c>
      <c r="AJ115" s="9">
        <v>35540</v>
      </c>
      <c r="AK115" s="9">
        <v>35770</v>
      </c>
      <c r="AL115" s="9">
        <v>35770</v>
      </c>
      <c r="AM115" s="9">
        <v>34900</v>
      </c>
      <c r="AN115" s="9">
        <v>34510</v>
      </c>
      <c r="AO115" s="9">
        <v>33870</v>
      </c>
      <c r="AP115" s="9">
        <v>34570</v>
      </c>
      <c r="AQ115" s="9">
        <v>33790</v>
      </c>
      <c r="AR115" s="9">
        <v>32350</v>
      </c>
      <c r="AS115" s="9">
        <v>32540</v>
      </c>
      <c r="AT115" s="9">
        <v>33020</v>
      </c>
      <c r="AU115" s="9">
        <v>32780</v>
      </c>
      <c r="AV115" s="9">
        <v>33210</v>
      </c>
      <c r="AW115" s="9">
        <v>34640</v>
      </c>
      <c r="AX115" s="9">
        <v>35790</v>
      </c>
      <c r="AY115" s="9">
        <v>35990</v>
      </c>
      <c r="AZ115" s="9">
        <v>36070</v>
      </c>
      <c r="BA115" s="9">
        <v>35230</v>
      </c>
      <c r="BB115" s="9">
        <v>34730</v>
      </c>
      <c r="BC115" s="9">
        <v>34240</v>
      </c>
      <c r="BD115" s="9">
        <v>33530</v>
      </c>
      <c r="BE115" s="9">
        <v>33070</v>
      </c>
      <c r="BF115" s="9">
        <v>33440</v>
      </c>
      <c r="BG115" s="9">
        <v>33750</v>
      </c>
      <c r="BH115" s="9">
        <v>34020</v>
      </c>
      <c r="BI115" s="9">
        <v>34280</v>
      </c>
      <c r="BJ115" s="9">
        <v>34540</v>
      </c>
      <c r="BK115" s="9">
        <v>34760</v>
      </c>
      <c r="BL115" s="9">
        <v>34960</v>
      </c>
      <c r="BM115" s="9">
        <v>35130</v>
      </c>
      <c r="BN115" s="9">
        <v>35270</v>
      </c>
      <c r="BO115" s="9">
        <v>35370</v>
      </c>
    </row>
    <row r="116" spans="3:67" x14ac:dyDescent="0.2">
      <c r="C116" s="3">
        <v>44</v>
      </c>
      <c r="E116" s="9">
        <v>29860</v>
      </c>
      <c r="F116" s="9">
        <v>29710</v>
      </c>
      <c r="G116" s="9">
        <v>29310</v>
      </c>
      <c r="H116" s="9">
        <v>28210</v>
      </c>
      <c r="I116" s="9">
        <v>27850</v>
      </c>
      <c r="J116" s="9">
        <v>27390</v>
      </c>
      <c r="K116" s="9">
        <v>27410</v>
      </c>
      <c r="L116" s="9">
        <v>27700</v>
      </c>
      <c r="M116" s="9">
        <v>28010</v>
      </c>
      <c r="N116" s="9">
        <v>28820</v>
      </c>
      <c r="O116" s="9">
        <v>28550</v>
      </c>
      <c r="P116" s="9">
        <v>27530</v>
      </c>
      <c r="Q116" s="9">
        <v>26710</v>
      </c>
      <c r="R116" s="9">
        <v>25600</v>
      </c>
      <c r="S116" s="9">
        <v>24770</v>
      </c>
      <c r="T116" s="9">
        <v>24780</v>
      </c>
      <c r="U116" s="9">
        <v>24200</v>
      </c>
      <c r="V116" s="9">
        <v>24700</v>
      </c>
      <c r="W116" s="9">
        <v>25090</v>
      </c>
      <c r="X116" s="9">
        <v>25700</v>
      </c>
      <c r="Y116" s="9">
        <v>25940</v>
      </c>
      <c r="Z116" s="9">
        <v>26840</v>
      </c>
      <c r="AA116" s="9">
        <v>27170</v>
      </c>
      <c r="AB116" s="9">
        <v>27580</v>
      </c>
      <c r="AC116" s="9">
        <v>28530</v>
      </c>
      <c r="AD116" s="9">
        <v>29580</v>
      </c>
      <c r="AE116" s="9">
        <v>30950</v>
      </c>
      <c r="AF116" s="9">
        <v>32650</v>
      </c>
      <c r="AG116" s="9">
        <v>34210</v>
      </c>
      <c r="AH116" s="9">
        <v>35710</v>
      </c>
      <c r="AI116" s="9">
        <v>35490</v>
      </c>
      <c r="AJ116" s="9">
        <v>35720</v>
      </c>
      <c r="AK116" s="9">
        <v>35520</v>
      </c>
      <c r="AL116" s="9">
        <v>35760</v>
      </c>
      <c r="AM116" s="9">
        <v>35750</v>
      </c>
      <c r="AN116" s="9">
        <v>34890</v>
      </c>
      <c r="AO116" s="9">
        <v>34500</v>
      </c>
      <c r="AP116" s="9">
        <v>33860</v>
      </c>
      <c r="AQ116" s="9">
        <v>34560</v>
      </c>
      <c r="AR116" s="9">
        <v>33790</v>
      </c>
      <c r="AS116" s="9">
        <v>32340</v>
      </c>
      <c r="AT116" s="9">
        <v>32530</v>
      </c>
      <c r="AU116" s="9">
        <v>33010</v>
      </c>
      <c r="AV116" s="9">
        <v>32780</v>
      </c>
      <c r="AW116" s="9">
        <v>33200</v>
      </c>
      <c r="AX116" s="9">
        <v>34630</v>
      </c>
      <c r="AY116" s="9">
        <v>35790</v>
      </c>
      <c r="AZ116" s="9">
        <v>35990</v>
      </c>
      <c r="BA116" s="9">
        <v>36070</v>
      </c>
      <c r="BB116" s="9">
        <v>35220</v>
      </c>
      <c r="BC116" s="9">
        <v>34730</v>
      </c>
      <c r="BD116" s="9">
        <v>34240</v>
      </c>
      <c r="BE116" s="9">
        <v>33530</v>
      </c>
      <c r="BF116" s="9">
        <v>33070</v>
      </c>
      <c r="BG116" s="9">
        <v>33440</v>
      </c>
      <c r="BH116" s="9">
        <v>33750</v>
      </c>
      <c r="BI116" s="9">
        <v>34020</v>
      </c>
      <c r="BJ116" s="9">
        <v>34280</v>
      </c>
      <c r="BK116" s="9">
        <v>34540</v>
      </c>
      <c r="BL116" s="9">
        <v>34760</v>
      </c>
      <c r="BM116" s="9">
        <v>34960</v>
      </c>
      <c r="BN116" s="9">
        <v>35130</v>
      </c>
      <c r="BO116" s="9">
        <v>35270</v>
      </c>
    </row>
    <row r="117" spans="3:67" x14ac:dyDescent="0.2">
      <c r="C117" s="3">
        <v>45</v>
      </c>
      <c r="E117" s="9">
        <v>29280</v>
      </c>
      <c r="F117" s="9">
        <v>29850</v>
      </c>
      <c r="G117" s="9">
        <v>29640</v>
      </c>
      <c r="H117" s="9">
        <v>29260</v>
      </c>
      <c r="I117" s="9">
        <v>28150</v>
      </c>
      <c r="J117" s="9">
        <v>27740</v>
      </c>
      <c r="K117" s="9">
        <v>27220</v>
      </c>
      <c r="L117" s="9">
        <v>27260</v>
      </c>
      <c r="M117" s="9">
        <v>28250</v>
      </c>
      <c r="N117" s="9">
        <v>28170</v>
      </c>
      <c r="O117" s="9">
        <v>28880</v>
      </c>
      <c r="P117" s="9">
        <v>28510</v>
      </c>
      <c r="Q117" s="9">
        <v>27490</v>
      </c>
      <c r="R117" s="9">
        <v>26670</v>
      </c>
      <c r="S117" s="9">
        <v>25580</v>
      </c>
      <c r="T117" s="9">
        <v>24740</v>
      </c>
      <c r="U117" s="9">
        <v>24760</v>
      </c>
      <c r="V117" s="9">
        <v>24170</v>
      </c>
      <c r="W117" s="9">
        <v>24670</v>
      </c>
      <c r="X117" s="9">
        <v>25060</v>
      </c>
      <c r="Y117" s="9">
        <v>25680</v>
      </c>
      <c r="Z117" s="9">
        <v>25920</v>
      </c>
      <c r="AA117" s="9">
        <v>26810</v>
      </c>
      <c r="AB117" s="9">
        <v>27140</v>
      </c>
      <c r="AC117" s="9">
        <v>27550</v>
      </c>
      <c r="AD117" s="9">
        <v>28500</v>
      </c>
      <c r="AE117" s="9">
        <v>29560</v>
      </c>
      <c r="AF117" s="9">
        <v>30930</v>
      </c>
      <c r="AG117" s="9">
        <v>32630</v>
      </c>
      <c r="AH117" s="9">
        <v>34190</v>
      </c>
      <c r="AI117" s="9">
        <v>35680</v>
      </c>
      <c r="AJ117" s="9">
        <v>35460</v>
      </c>
      <c r="AK117" s="9">
        <v>35690</v>
      </c>
      <c r="AL117" s="9">
        <v>35500</v>
      </c>
      <c r="AM117" s="9">
        <v>35740</v>
      </c>
      <c r="AN117" s="9">
        <v>35730</v>
      </c>
      <c r="AO117" s="9">
        <v>34870</v>
      </c>
      <c r="AP117" s="9">
        <v>34480</v>
      </c>
      <c r="AQ117" s="9">
        <v>33840</v>
      </c>
      <c r="AR117" s="9">
        <v>34540</v>
      </c>
      <c r="AS117" s="9">
        <v>33770</v>
      </c>
      <c r="AT117" s="9">
        <v>32320</v>
      </c>
      <c r="AU117" s="9">
        <v>32510</v>
      </c>
      <c r="AV117" s="9">
        <v>33000</v>
      </c>
      <c r="AW117" s="9">
        <v>32760</v>
      </c>
      <c r="AX117" s="9">
        <v>33190</v>
      </c>
      <c r="AY117" s="9">
        <v>34620</v>
      </c>
      <c r="AZ117" s="9">
        <v>35770</v>
      </c>
      <c r="BA117" s="9">
        <v>35970</v>
      </c>
      <c r="BB117" s="9">
        <v>36050</v>
      </c>
      <c r="BC117" s="9">
        <v>35210</v>
      </c>
      <c r="BD117" s="9">
        <v>34710</v>
      </c>
      <c r="BE117" s="9">
        <v>34220</v>
      </c>
      <c r="BF117" s="9">
        <v>33520</v>
      </c>
      <c r="BG117" s="9">
        <v>33060</v>
      </c>
      <c r="BH117" s="9">
        <v>33430</v>
      </c>
      <c r="BI117" s="9">
        <v>33740</v>
      </c>
      <c r="BJ117" s="9">
        <v>34010</v>
      </c>
      <c r="BK117" s="9">
        <v>34270</v>
      </c>
      <c r="BL117" s="9">
        <v>34530</v>
      </c>
      <c r="BM117" s="9">
        <v>34760</v>
      </c>
      <c r="BN117" s="9">
        <v>34950</v>
      </c>
      <c r="BO117" s="9">
        <v>35130</v>
      </c>
    </row>
    <row r="118" spans="3:67" x14ac:dyDescent="0.2">
      <c r="C118" s="3">
        <v>46</v>
      </c>
      <c r="E118" s="9">
        <v>28410</v>
      </c>
      <c r="F118" s="9">
        <v>29210</v>
      </c>
      <c r="G118" s="9">
        <v>29740</v>
      </c>
      <c r="H118" s="9">
        <v>29580</v>
      </c>
      <c r="I118" s="9">
        <v>29150</v>
      </c>
      <c r="J118" s="9">
        <v>28020</v>
      </c>
      <c r="K118" s="9">
        <v>27570</v>
      </c>
      <c r="L118" s="9">
        <v>27060</v>
      </c>
      <c r="M118" s="9">
        <v>27860</v>
      </c>
      <c r="N118" s="9">
        <v>28380</v>
      </c>
      <c r="O118" s="9">
        <v>28210</v>
      </c>
      <c r="P118" s="9">
        <v>28820</v>
      </c>
      <c r="Q118" s="9">
        <v>28460</v>
      </c>
      <c r="R118" s="9">
        <v>27440</v>
      </c>
      <c r="S118" s="9">
        <v>26630</v>
      </c>
      <c r="T118" s="9">
        <v>25530</v>
      </c>
      <c r="U118" s="9">
        <v>24700</v>
      </c>
      <c r="V118" s="9">
        <v>24720</v>
      </c>
      <c r="W118" s="9">
        <v>24130</v>
      </c>
      <c r="X118" s="9">
        <v>24630</v>
      </c>
      <c r="Y118" s="9">
        <v>25030</v>
      </c>
      <c r="Z118" s="9">
        <v>25640</v>
      </c>
      <c r="AA118" s="9">
        <v>25880</v>
      </c>
      <c r="AB118" s="9">
        <v>26770</v>
      </c>
      <c r="AC118" s="9">
        <v>27100</v>
      </c>
      <c r="AD118" s="9">
        <v>27520</v>
      </c>
      <c r="AE118" s="9">
        <v>28460</v>
      </c>
      <c r="AF118" s="9">
        <v>29520</v>
      </c>
      <c r="AG118" s="9">
        <v>30890</v>
      </c>
      <c r="AH118" s="9">
        <v>32590</v>
      </c>
      <c r="AI118" s="9">
        <v>34150</v>
      </c>
      <c r="AJ118" s="9">
        <v>35640</v>
      </c>
      <c r="AK118" s="9">
        <v>35420</v>
      </c>
      <c r="AL118" s="9">
        <v>35650</v>
      </c>
      <c r="AM118" s="9">
        <v>35460</v>
      </c>
      <c r="AN118" s="9">
        <v>35700</v>
      </c>
      <c r="AO118" s="9">
        <v>35690</v>
      </c>
      <c r="AP118" s="9">
        <v>34830</v>
      </c>
      <c r="AQ118" s="9">
        <v>34450</v>
      </c>
      <c r="AR118" s="9">
        <v>33800</v>
      </c>
      <c r="AS118" s="9">
        <v>34510</v>
      </c>
      <c r="AT118" s="9">
        <v>33730</v>
      </c>
      <c r="AU118" s="9">
        <v>32290</v>
      </c>
      <c r="AV118" s="9">
        <v>32480</v>
      </c>
      <c r="AW118" s="9">
        <v>32970</v>
      </c>
      <c r="AX118" s="9">
        <v>32730</v>
      </c>
      <c r="AY118" s="9">
        <v>33160</v>
      </c>
      <c r="AZ118" s="9">
        <v>34590</v>
      </c>
      <c r="BA118" s="9">
        <v>35740</v>
      </c>
      <c r="BB118" s="9">
        <v>35940</v>
      </c>
      <c r="BC118" s="9">
        <v>36020</v>
      </c>
      <c r="BD118" s="9">
        <v>35180</v>
      </c>
      <c r="BE118" s="9">
        <v>34690</v>
      </c>
      <c r="BF118" s="9">
        <v>34200</v>
      </c>
      <c r="BG118" s="9">
        <v>33490</v>
      </c>
      <c r="BH118" s="9">
        <v>33040</v>
      </c>
      <c r="BI118" s="9">
        <v>33400</v>
      </c>
      <c r="BJ118" s="9">
        <v>33710</v>
      </c>
      <c r="BK118" s="9">
        <v>33980</v>
      </c>
      <c r="BL118" s="9">
        <v>34250</v>
      </c>
      <c r="BM118" s="9">
        <v>34500</v>
      </c>
      <c r="BN118" s="9">
        <v>34730</v>
      </c>
      <c r="BO118" s="9">
        <v>34930</v>
      </c>
    </row>
    <row r="119" spans="3:67" x14ac:dyDescent="0.2">
      <c r="C119" s="3">
        <v>47</v>
      </c>
      <c r="E119" s="9">
        <v>27970</v>
      </c>
      <c r="F119" s="9">
        <v>28320</v>
      </c>
      <c r="G119" s="9">
        <v>29110</v>
      </c>
      <c r="H119" s="9">
        <v>29630</v>
      </c>
      <c r="I119" s="9">
        <v>29450</v>
      </c>
      <c r="J119" s="9">
        <v>29000</v>
      </c>
      <c r="K119" s="9">
        <v>27840</v>
      </c>
      <c r="L119" s="9">
        <v>27400</v>
      </c>
      <c r="M119" s="9">
        <v>27460</v>
      </c>
      <c r="N119" s="9">
        <v>27960</v>
      </c>
      <c r="O119" s="9">
        <v>28390</v>
      </c>
      <c r="P119" s="9">
        <v>28140</v>
      </c>
      <c r="Q119" s="9">
        <v>28750</v>
      </c>
      <c r="R119" s="9">
        <v>28390</v>
      </c>
      <c r="S119" s="9">
        <v>27380</v>
      </c>
      <c r="T119" s="9">
        <v>26560</v>
      </c>
      <c r="U119" s="9">
        <v>25470</v>
      </c>
      <c r="V119" s="9">
        <v>24640</v>
      </c>
      <c r="W119" s="9">
        <v>24660</v>
      </c>
      <c r="X119" s="9">
        <v>24080</v>
      </c>
      <c r="Y119" s="9">
        <v>24580</v>
      </c>
      <c r="Z119" s="9">
        <v>24970</v>
      </c>
      <c r="AA119" s="9">
        <v>25580</v>
      </c>
      <c r="AB119" s="9">
        <v>25830</v>
      </c>
      <c r="AC119" s="9">
        <v>26720</v>
      </c>
      <c r="AD119" s="9">
        <v>27050</v>
      </c>
      <c r="AE119" s="9">
        <v>27460</v>
      </c>
      <c r="AF119" s="9">
        <v>28410</v>
      </c>
      <c r="AG119" s="9">
        <v>29460</v>
      </c>
      <c r="AH119" s="9">
        <v>30830</v>
      </c>
      <c r="AI119" s="9">
        <v>32530</v>
      </c>
      <c r="AJ119" s="9">
        <v>34090</v>
      </c>
      <c r="AK119" s="9">
        <v>35580</v>
      </c>
      <c r="AL119" s="9">
        <v>35360</v>
      </c>
      <c r="AM119" s="9">
        <v>35590</v>
      </c>
      <c r="AN119" s="9">
        <v>35400</v>
      </c>
      <c r="AO119" s="9">
        <v>35640</v>
      </c>
      <c r="AP119" s="9">
        <v>35640</v>
      </c>
      <c r="AQ119" s="9">
        <v>34780</v>
      </c>
      <c r="AR119" s="9">
        <v>34390</v>
      </c>
      <c r="AS119" s="9">
        <v>33750</v>
      </c>
      <c r="AT119" s="9">
        <v>34460</v>
      </c>
      <c r="AU119" s="9">
        <v>33680</v>
      </c>
      <c r="AV119" s="9">
        <v>32250</v>
      </c>
      <c r="AW119" s="9">
        <v>32440</v>
      </c>
      <c r="AX119" s="9">
        <v>32920</v>
      </c>
      <c r="AY119" s="9">
        <v>32690</v>
      </c>
      <c r="AZ119" s="9">
        <v>33110</v>
      </c>
      <c r="BA119" s="9">
        <v>34540</v>
      </c>
      <c r="BB119" s="9">
        <v>35690</v>
      </c>
      <c r="BC119" s="9">
        <v>35900</v>
      </c>
      <c r="BD119" s="9">
        <v>35980</v>
      </c>
      <c r="BE119" s="9">
        <v>35140</v>
      </c>
      <c r="BF119" s="9">
        <v>34640</v>
      </c>
      <c r="BG119" s="9">
        <v>34150</v>
      </c>
      <c r="BH119" s="9">
        <v>33450</v>
      </c>
      <c r="BI119" s="9">
        <v>33000</v>
      </c>
      <c r="BJ119" s="9">
        <v>33360</v>
      </c>
      <c r="BK119" s="9">
        <v>33670</v>
      </c>
      <c r="BL119" s="9">
        <v>33940</v>
      </c>
      <c r="BM119" s="9">
        <v>34210</v>
      </c>
      <c r="BN119" s="9">
        <v>34470</v>
      </c>
      <c r="BO119" s="9">
        <v>34690</v>
      </c>
    </row>
    <row r="120" spans="3:67" x14ac:dyDescent="0.2">
      <c r="C120" s="3">
        <v>48</v>
      </c>
      <c r="E120" s="9">
        <v>26550</v>
      </c>
      <c r="F120" s="9">
        <v>27830</v>
      </c>
      <c r="G120" s="9">
        <v>28110</v>
      </c>
      <c r="H120" s="9">
        <v>28980</v>
      </c>
      <c r="I120" s="9">
        <v>29450</v>
      </c>
      <c r="J120" s="9">
        <v>29190</v>
      </c>
      <c r="K120" s="9">
        <v>28740</v>
      </c>
      <c r="L120" s="9">
        <v>27600</v>
      </c>
      <c r="M120" s="9">
        <v>27530</v>
      </c>
      <c r="N120" s="9">
        <v>27470</v>
      </c>
      <c r="O120" s="9">
        <v>27890</v>
      </c>
      <c r="P120" s="9">
        <v>28250</v>
      </c>
      <c r="Q120" s="9">
        <v>27990</v>
      </c>
      <c r="R120" s="9">
        <v>28600</v>
      </c>
      <c r="S120" s="9">
        <v>28240</v>
      </c>
      <c r="T120" s="9">
        <v>27240</v>
      </c>
      <c r="U120" s="9">
        <v>26430</v>
      </c>
      <c r="V120" s="9">
        <v>25340</v>
      </c>
      <c r="W120" s="9">
        <v>24520</v>
      </c>
      <c r="X120" s="9">
        <v>24540</v>
      </c>
      <c r="Y120" s="9">
        <v>23960</v>
      </c>
      <c r="Z120" s="9">
        <v>24460</v>
      </c>
      <c r="AA120" s="9">
        <v>24850</v>
      </c>
      <c r="AB120" s="9">
        <v>25460</v>
      </c>
      <c r="AC120" s="9">
        <v>25700</v>
      </c>
      <c r="AD120" s="9">
        <v>26590</v>
      </c>
      <c r="AE120" s="9">
        <v>26920</v>
      </c>
      <c r="AF120" s="9">
        <v>27340</v>
      </c>
      <c r="AG120" s="9">
        <v>28280</v>
      </c>
      <c r="AH120" s="9">
        <v>29330</v>
      </c>
      <c r="AI120" s="9">
        <v>30690</v>
      </c>
      <c r="AJ120" s="9">
        <v>32390</v>
      </c>
      <c r="AK120" s="9">
        <v>33940</v>
      </c>
      <c r="AL120" s="9">
        <v>35430</v>
      </c>
      <c r="AM120" s="9">
        <v>35210</v>
      </c>
      <c r="AN120" s="9">
        <v>35450</v>
      </c>
      <c r="AO120" s="9">
        <v>35260</v>
      </c>
      <c r="AP120" s="9">
        <v>35500</v>
      </c>
      <c r="AQ120" s="9">
        <v>35490</v>
      </c>
      <c r="AR120" s="9">
        <v>34640</v>
      </c>
      <c r="AS120" s="9">
        <v>34260</v>
      </c>
      <c r="AT120" s="9">
        <v>33620</v>
      </c>
      <c r="AU120" s="9">
        <v>34320</v>
      </c>
      <c r="AV120" s="9">
        <v>33550</v>
      </c>
      <c r="AW120" s="9">
        <v>32120</v>
      </c>
      <c r="AX120" s="9">
        <v>32310</v>
      </c>
      <c r="AY120" s="9">
        <v>32790</v>
      </c>
      <c r="AZ120" s="9">
        <v>32560</v>
      </c>
      <c r="BA120" s="9">
        <v>32990</v>
      </c>
      <c r="BB120" s="9">
        <v>34410</v>
      </c>
      <c r="BC120" s="9">
        <v>35560</v>
      </c>
      <c r="BD120" s="9">
        <v>35760</v>
      </c>
      <c r="BE120" s="9">
        <v>35840</v>
      </c>
      <c r="BF120" s="9">
        <v>35000</v>
      </c>
      <c r="BG120" s="9">
        <v>34520</v>
      </c>
      <c r="BH120" s="9">
        <v>34030</v>
      </c>
      <c r="BI120" s="9">
        <v>33330</v>
      </c>
      <c r="BJ120" s="9">
        <v>32870</v>
      </c>
      <c r="BK120" s="9">
        <v>33240</v>
      </c>
      <c r="BL120" s="9">
        <v>33550</v>
      </c>
      <c r="BM120" s="9">
        <v>33820</v>
      </c>
      <c r="BN120" s="9">
        <v>34090</v>
      </c>
      <c r="BO120" s="9">
        <v>34340</v>
      </c>
    </row>
    <row r="121" spans="3:67" x14ac:dyDescent="0.2">
      <c r="C121" s="3">
        <v>49</v>
      </c>
      <c r="E121" s="9">
        <v>26270</v>
      </c>
      <c r="F121" s="9">
        <v>26370</v>
      </c>
      <c r="G121" s="9">
        <v>27580</v>
      </c>
      <c r="H121" s="9">
        <v>27920</v>
      </c>
      <c r="I121" s="9">
        <v>28790</v>
      </c>
      <c r="J121" s="9">
        <v>29190</v>
      </c>
      <c r="K121" s="9">
        <v>28900</v>
      </c>
      <c r="L121" s="9">
        <v>28470</v>
      </c>
      <c r="M121" s="9">
        <v>27730</v>
      </c>
      <c r="N121" s="9">
        <v>27490</v>
      </c>
      <c r="O121" s="9">
        <v>27360</v>
      </c>
      <c r="P121" s="9">
        <v>27700</v>
      </c>
      <c r="Q121" s="9">
        <v>28060</v>
      </c>
      <c r="R121" s="9">
        <v>27810</v>
      </c>
      <c r="S121" s="9">
        <v>28420</v>
      </c>
      <c r="T121" s="9">
        <v>28060</v>
      </c>
      <c r="U121" s="9">
        <v>27060</v>
      </c>
      <c r="V121" s="9">
        <v>26260</v>
      </c>
      <c r="W121" s="9">
        <v>25180</v>
      </c>
      <c r="X121" s="9">
        <v>24360</v>
      </c>
      <c r="Y121" s="9">
        <v>24380</v>
      </c>
      <c r="Z121" s="9">
        <v>23800</v>
      </c>
      <c r="AA121" s="9">
        <v>24300</v>
      </c>
      <c r="AB121" s="9">
        <v>24690</v>
      </c>
      <c r="AC121" s="9">
        <v>25300</v>
      </c>
      <c r="AD121" s="9">
        <v>25540</v>
      </c>
      <c r="AE121" s="9">
        <v>26430</v>
      </c>
      <c r="AF121" s="9">
        <v>26760</v>
      </c>
      <c r="AG121" s="9">
        <v>27170</v>
      </c>
      <c r="AH121" s="9">
        <v>28110</v>
      </c>
      <c r="AI121" s="9">
        <v>29160</v>
      </c>
      <c r="AJ121" s="9">
        <v>30520</v>
      </c>
      <c r="AK121" s="9">
        <v>32210</v>
      </c>
      <c r="AL121" s="9">
        <v>33750</v>
      </c>
      <c r="AM121" s="9">
        <v>35240</v>
      </c>
      <c r="AN121" s="9">
        <v>35020</v>
      </c>
      <c r="AO121" s="9">
        <v>35250</v>
      </c>
      <c r="AP121" s="9">
        <v>35070</v>
      </c>
      <c r="AQ121" s="9">
        <v>35300</v>
      </c>
      <c r="AR121" s="9">
        <v>35300</v>
      </c>
      <c r="AS121" s="9">
        <v>34450</v>
      </c>
      <c r="AT121" s="9">
        <v>34070</v>
      </c>
      <c r="AU121" s="9">
        <v>33440</v>
      </c>
      <c r="AV121" s="9">
        <v>34140</v>
      </c>
      <c r="AW121" s="9">
        <v>33370</v>
      </c>
      <c r="AX121" s="9">
        <v>31950</v>
      </c>
      <c r="AY121" s="9">
        <v>32140</v>
      </c>
      <c r="AZ121" s="9">
        <v>32620</v>
      </c>
      <c r="BA121" s="9">
        <v>32390</v>
      </c>
      <c r="BB121" s="9">
        <v>32820</v>
      </c>
      <c r="BC121" s="9">
        <v>34230</v>
      </c>
      <c r="BD121" s="9">
        <v>35380</v>
      </c>
      <c r="BE121" s="9">
        <v>35580</v>
      </c>
      <c r="BF121" s="9">
        <v>35660</v>
      </c>
      <c r="BG121" s="9">
        <v>34830</v>
      </c>
      <c r="BH121" s="9">
        <v>34340</v>
      </c>
      <c r="BI121" s="9">
        <v>33860</v>
      </c>
      <c r="BJ121" s="9">
        <v>33160</v>
      </c>
      <c r="BK121" s="9">
        <v>32710</v>
      </c>
      <c r="BL121" s="9">
        <v>33070</v>
      </c>
      <c r="BM121" s="9">
        <v>33380</v>
      </c>
      <c r="BN121" s="9">
        <v>33650</v>
      </c>
      <c r="BO121" s="9">
        <v>33920</v>
      </c>
    </row>
    <row r="122" spans="3:67" x14ac:dyDescent="0.2">
      <c r="C122" s="3">
        <v>50</v>
      </c>
      <c r="E122" s="9">
        <v>25530</v>
      </c>
      <c r="F122" s="9">
        <v>26020</v>
      </c>
      <c r="G122" s="9">
        <v>26060</v>
      </c>
      <c r="H122" s="9">
        <v>27290</v>
      </c>
      <c r="I122" s="9">
        <v>27640</v>
      </c>
      <c r="J122" s="9">
        <v>28450</v>
      </c>
      <c r="K122" s="9">
        <v>28830</v>
      </c>
      <c r="L122" s="9">
        <v>28550</v>
      </c>
      <c r="M122" s="9">
        <v>28480</v>
      </c>
      <c r="N122" s="9">
        <v>27610</v>
      </c>
      <c r="O122" s="9">
        <v>27300</v>
      </c>
      <c r="P122" s="9">
        <v>27110</v>
      </c>
      <c r="Q122" s="9">
        <v>27450</v>
      </c>
      <c r="R122" s="9">
        <v>27800</v>
      </c>
      <c r="S122" s="9">
        <v>27560</v>
      </c>
      <c r="T122" s="9">
        <v>28160</v>
      </c>
      <c r="U122" s="9">
        <v>27810</v>
      </c>
      <c r="V122" s="9">
        <v>26820</v>
      </c>
      <c r="W122" s="9">
        <v>26020</v>
      </c>
      <c r="X122" s="9">
        <v>24950</v>
      </c>
      <c r="Y122" s="9">
        <v>24140</v>
      </c>
      <c r="Z122" s="9">
        <v>24160</v>
      </c>
      <c r="AA122" s="9">
        <v>23590</v>
      </c>
      <c r="AB122" s="9">
        <v>24080</v>
      </c>
      <c r="AC122" s="9">
        <v>24480</v>
      </c>
      <c r="AD122" s="9">
        <v>25080</v>
      </c>
      <c r="AE122" s="9">
        <v>25320</v>
      </c>
      <c r="AF122" s="9">
        <v>26200</v>
      </c>
      <c r="AG122" s="9">
        <v>26530</v>
      </c>
      <c r="AH122" s="9">
        <v>26940</v>
      </c>
      <c r="AI122" s="9">
        <v>27880</v>
      </c>
      <c r="AJ122" s="9">
        <v>28920</v>
      </c>
      <c r="AK122" s="9">
        <v>30270</v>
      </c>
      <c r="AL122" s="9">
        <v>31950</v>
      </c>
      <c r="AM122" s="9">
        <v>33490</v>
      </c>
      <c r="AN122" s="9">
        <v>34960</v>
      </c>
      <c r="AO122" s="9">
        <v>34750</v>
      </c>
      <c r="AP122" s="9">
        <v>34980</v>
      </c>
      <c r="AQ122" s="9">
        <v>34790</v>
      </c>
      <c r="AR122" s="9">
        <v>35030</v>
      </c>
      <c r="AS122" s="9">
        <v>35030</v>
      </c>
      <c r="AT122" s="9">
        <v>34190</v>
      </c>
      <c r="AU122" s="9">
        <v>33810</v>
      </c>
      <c r="AV122" s="9">
        <v>33180</v>
      </c>
      <c r="AW122" s="9">
        <v>33880</v>
      </c>
      <c r="AX122" s="9">
        <v>33120</v>
      </c>
      <c r="AY122" s="9">
        <v>31700</v>
      </c>
      <c r="AZ122" s="9">
        <v>31890</v>
      </c>
      <c r="BA122" s="9">
        <v>32370</v>
      </c>
      <c r="BB122" s="9">
        <v>32140</v>
      </c>
      <c r="BC122" s="9">
        <v>32570</v>
      </c>
      <c r="BD122" s="9">
        <v>33980</v>
      </c>
      <c r="BE122" s="9">
        <v>35110</v>
      </c>
      <c r="BF122" s="9">
        <v>35320</v>
      </c>
      <c r="BG122" s="9">
        <v>35400</v>
      </c>
      <c r="BH122" s="9">
        <v>34570</v>
      </c>
      <c r="BI122" s="9">
        <v>34090</v>
      </c>
      <c r="BJ122" s="9">
        <v>33610</v>
      </c>
      <c r="BK122" s="9">
        <v>32910</v>
      </c>
      <c r="BL122" s="9">
        <v>32470</v>
      </c>
      <c r="BM122" s="9">
        <v>32830</v>
      </c>
      <c r="BN122" s="9">
        <v>33140</v>
      </c>
      <c r="BO122" s="9">
        <v>33410</v>
      </c>
    </row>
    <row r="123" spans="3:67" x14ac:dyDescent="0.2">
      <c r="C123" s="3">
        <v>51</v>
      </c>
      <c r="E123" s="9">
        <v>24300</v>
      </c>
      <c r="F123" s="9">
        <v>25290</v>
      </c>
      <c r="G123" s="9">
        <v>25750</v>
      </c>
      <c r="H123" s="9">
        <v>25790</v>
      </c>
      <c r="I123" s="9">
        <v>27020</v>
      </c>
      <c r="J123" s="9">
        <v>27300</v>
      </c>
      <c r="K123" s="9">
        <v>28100</v>
      </c>
      <c r="L123" s="9">
        <v>28480</v>
      </c>
      <c r="M123" s="9">
        <v>28520</v>
      </c>
      <c r="N123" s="9">
        <v>28340</v>
      </c>
      <c r="O123" s="9">
        <v>27410</v>
      </c>
      <c r="P123" s="9">
        <v>27040</v>
      </c>
      <c r="Q123" s="9">
        <v>26850</v>
      </c>
      <c r="R123" s="9">
        <v>27190</v>
      </c>
      <c r="S123" s="9">
        <v>27540</v>
      </c>
      <c r="T123" s="9">
        <v>27300</v>
      </c>
      <c r="U123" s="9">
        <v>27900</v>
      </c>
      <c r="V123" s="9">
        <v>27560</v>
      </c>
      <c r="W123" s="9">
        <v>26580</v>
      </c>
      <c r="X123" s="9">
        <v>25780</v>
      </c>
      <c r="Y123" s="9">
        <v>24720</v>
      </c>
      <c r="Z123" s="9">
        <v>23920</v>
      </c>
      <c r="AA123" s="9">
        <v>23940</v>
      </c>
      <c r="AB123" s="9">
        <v>23380</v>
      </c>
      <c r="AC123" s="9">
        <v>23870</v>
      </c>
      <c r="AD123" s="9">
        <v>24260</v>
      </c>
      <c r="AE123" s="9">
        <v>24860</v>
      </c>
      <c r="AF123" s="9">
        <v>25100</v>
      </c>
      <c r="AG123" s="9">
        <v>25980</v>
      </c>
      <c r="AH123" s="9">
        <v>26300</v>
      </c>
      <c r="AI123" s="9">
        <v>26710</v>
      </c>
      <c r="AJ123" s="9">
        <v>27640</v>
      </c>
      <c r="AK123" s="9">
        <v>28680</v>
      </c>
      <c r="AL123" s="9">
        <v>30020</v>
      </c>
      <c r="AM123" s="9">
        <v>31690</v>
      </c>
      <c r="AN123" s="9">
        <v>33210</v>
      </c>
      <c r="AO123" s="9">
        <v>34680</v>
      </c>
      <c r="AP123" s="9">
        <v>34470</v>
      </c>
      <c r="AQ123" s="9">
        <v>34700</v>
      </c>
      <c r="AR123" s="9">
        <v>34520</v>
      </c>
      <c r="AS123" s="9">
        <v>34760</v>
      </c>
      <c r="AT123" s="9">
        <v>34760</v>
      </c>
      <c r="AU123" s="9">
        <v>33920</v>
      </c>
      <c r="AV123" s="9">
        <v>33550</v>
      </c>
      <c r="AW123" s="9">
        <v>32920</v>
      </c>
      <c r="AX123" s="9">
        <v>33620</v>
      </c>
      <c r="AY123" s="9">
        <v>32860</v>
      </c>
      <c r="AZ123" s="9">
        <v>31450</v>
      </c>
      <c r="BA123" s="9">
        <v>31640</v>
      </c>
      <c r="BB123" s="9">
        <v>32120</v>
      </c>
      <c r="BC123" s="9">
        <v>31890</v>
      </c>
      <c r="BD123" s="9">
        <v>32320</v>
      </c>
      <c r="BE123" s="9">
        <v>33720</v>
      </c>
      <c r="BF123" s="9">
        <v>34850</v>
      </c>
      <c r="BG123" s="9">
        <v>35050</v>
      </c>
      <c r="BH123" s="9">
        <v>35140</v>
      </c>
      <c r="BI123" s="9">
        <v>34310</v>
      </c>
      <c r="BJ123" s="9">
        <v>33830</v>
      </c>
      <c r="BK123" s="9">
        <v>33350</v>
      </c>
      <c r="BL123" s="9">
        <v>32670</v>
      </c>
      <c r="BM123" s="9">
        <v>32220</v>
      </c>
      <c r="BN123" s="9">
        <v>32580</v>
      </c>
      <c r="BO123" s="9">
        <v>32890</v>
      </c>
    </row>
    <row r="124" spans="3:67" x14ac:dyDescent="0.2">
      <c r="C124" s="3">
        <v>52</v>
      </c>
      <c r="E124" s="9">
        <v>23620</v>
      </c>
      <c r="F124" s="9">
        <v>24170</v>
      </c>
      <c r="G124" s="9">
        <v>25100</v>
      </c>
      <c r="H124" s="9">
        <v>25590</v>
      </c>
      <c r="I124" s="9">
        <v>25670</v>
      </c>
      <c r="J124" s="9">
        <v>26840</v>
      </c>
      <c r="K124" s="9">
        <v>27100</v>
      </c>
      <c r="L124" s="9">
        <v>27910</v>
      </c>
      <c r="M124" s="9">
        <v>28660</v>
      </c>
      <c r="N124" s="9">
        <v>28520</v>
      </c>
      <c r="O124" s="9">
        <v>28280</v>
      </c>
      <c r="P124" s="9">
        <v>27290</v>
      </c>
      <c r="Q124" s="9">
        <v>26930</v>
      </c>
      <c r="R124" s="9">
        <v>26740</v>
      </c>
      <c r="S124" s="9">
        <v>27080</v>
      </c>
      <c r="T124" s="9">
        <v>27430</v>
      </c>
      <c r="U124" s="9">
        <v>27190</v>
      </c>
      <c r="V124" s="9">
        <v>27800</v>
      </c>
      <c r="W124" s="9">
        <v>27450</v>
      </c>
      <c r="X124" s="9">
        <v>26470</v>
      </c>
      <c r="Y124" s="9">
        <v>25690</v>
      </c>
      <c r="Z124" s="9">
        <v>24630</v>
      </c>
      <c r="AA124" s="9">
        <v>23830</v>
      </c>
      <c r="AB124" s="9">
        <v>23850</v>
      </c>
      <c r="AC124" s="9">
        <v>23290</v>
      </c>
      <c r="AD124" s="9">
        <v>23780</v>
      </c>
      <c r="AE124" s="9">
        <v>24170</v>
      </c>
      <c r="AF124" s="9">
        <v>24770</v>
      </c>
      <c r="AG124" s="9">
        <v>25010</v>
      </c>
      <c r="AH124" s="9">
        <v>25890</v>
      </c>
      <c r="AI124" s="9">
        <v>26220</v>
      </c>
      <c r="AJ124" s="9">
        <v>26620</v>
      </c>
      <c r="AK124" s="9">
        <v>27550</v>
      </c>
      <c r="AL124" s="9">
        <v>28590</v>
      </c>
      <c r="AM124" s="9">
        <v>29930</v>
      </c>
      <c r="AN124" s="9">
        <v>31600</v>
      </c>
      <c r="AO124" s="9">
        <v>33120</v>
      </c>
      <c r="AP124" s="9">
        <v>34590</v>
      </c>
      <c r="AQ124" s="9">
        <v>34380</v>
      </c>
      <c r="AR124" s="9">
        <v>34610</v>
      </c>
      <c r="AS124" s="9">
        <v>34430</v>
      </c>
      <c r="AT124" s="9">
        <v>34670</v>
      </c>
      <c r="AU124" s="9">
        <v>34670</v>
      </c>
      <c r="AV124" s="9">
        <v>33830</v>
      </c>
      <c r="AW124" s="9">
        <v>33460</v>
      </c>
      <c r="AX124" s="9">
        <v>32840</v>
      </c>
      <c r="AY124" s="9">
        <v>33540</v>
      </c>
      <c r="AZ124" s="9">
        <v>32780</v>
      </c>
      <c r="BA124" s="9">
        <v>31380</v>
      </c>
      <c r="BB124" s="9">
        <v>31570</v>
      </c>
      <c r="BC124" s="9">
        <v>32040</v>
      </c>
      <c r="BD124" s="9">
        <v>31820</v>
      </c>
      <c r="BE124" s="9">
        <v>32240</v>
      </c>
      <c r="BF124" s="9">
        <v>33650</v>
      </c>
      <c r="BG124" s="9">
        <v>34780</v>
      </c>
      <c r="BH124" s="9">
        <v>34980</v>
      </c>
      <c r="BI124" s="9">
        <v>35060</v>
      </c>
      <c r="BJ124" s="9">
        <v>34240</v>
      </c>
      <c r="BK124" s="9">
        <v>33760</v>
      </c>
      <c r="BL124" s="9">
        <v>33280</v>
      </c>
      <c r="BM124" s="9">
        <v>32600</v>
      </c>
      <c r="BN124" s="9">
        <v>32160</v>
      </c>
      <c r="BO124" s="9">
        <v>32520</v>
      </c>
    </row>
    <row r="125" spans="3:67" x14ac:dyDescent="0.2">
      <c r="C125" s="3">
        <v>53</v>
      </c>
      <c r="E125" s="9">
        <v>22910</v>
      </c>
      <c r="F125" s="9">
        <v>23440</v>
      </c>
      <c r="G125" s="9">
        <v>23960</v>
      </c>
      <c r="H125" s="9">
        <v>24950</v>
      </c>
      <c r="I125" s="9">
        <v>25450</v>
      </c>
      <c r="J125" s="9">
        <v>25450</v>
      </c>
      <c r="K125" s="9">
        <v>26620</v>
      </c>
      <c r="L125" s="9">
        <v>26890</v>
      </c>
      <c r="M125" s="9">
        <v>27900</v>
      </c>
      <c r="N125" s="9">
        <v>28620</v>
      </c>
      <c r="O125" s="9">
        <v>28420</v>
      </c>
      <c r="P125" s="9">
        <v>28130</v>
      </c>
      <c r="Q125" s="9">
        <v>27150</v>
      </c>
      <c r="R125" s="9">
        <v>26780</v>
      </c>
      <c r="S125" s="9">
        <v>26600</v>
      </c>
      <c r="T125" s="9">
        <v>26940</v>
      </c>
      <c r="U125" s="9">
        <v>27290</v>
      </c>
      <c r="V125" s="9">
        <v>27060</v>
      </c>
      <c r="W125" s="9">
        <v>27660</v>
      </c>
      <c r="X125" s="9">
        <v>27320</v>
      </c>
      <c r="Y125" s="9">
        <v>26340</v>
      </c>
      <c r="Z125" s="9">
        <v>25560</v>
      </c>
      <c r="AA125" s="9">
        <v>24510</v>
      </c>
      <c r="AB125" s="9">
        <v>23710</v>
      </c>
      <c r="AC125" s="9">
        <v>23730</v>
      </c>
      <c r="AD125" s="9">
        <v>23180</v>
      </c>
      <c r="AE125" s="9">
        <v>23670</v>
      </c>
      <c r="AF125" s="9">
        <v>24060</v>
      </c>
      <c r="AG125" s="9">
        <v>24660</v>
      </c>
      <c r="AH125" s="9">
        <v>24900</v>
      </c>
      <c r="AI125" s="9">
        <v>25780</v>
      </c>
      <c r="AJ125" s="9">
        <v>26100</v>
      </c>
      <c r="AK125" s="9">
        <v>26510</v>
      </c>
      <c r="AL125" s="9">
        <v>27440</v>
      </c>
      <c r="AM125" s="9">
        <v>28480</v>
      </c>
      <c r="AN125" s="9">
        <v>29810</v>
      </c>
      <c r="AO125" s="9">
        <v>31480</v>
      </c>
      <c r="AP125" s="9">
        <v>33000</v>
      </c>
      <c r="AQ125" s="9">
        <v>34460</v>
      </c>
      <c r="AR125" s="9">
        <v>34250</v>
      </c>
      <c r="AS125" s="9">
        <v>34490</v>
      </c>
      <c r="AT125" s="9">
        <v>34310</v>
      </c>
      <c r="AU125" s="9">
        <v>34550</v>
      </c>
      <c r="AV125" s="9">
        <v>34550</v>
      </c>
      <c r="AW125" s="9">
        <v>33720</v>
      </c>
      <c r="AX125" s="9">
        <v>33350</v>
      </c>
      <c r="AY125" s="9">
        <v>32730</v>
      </c>
      <c r="AZ125" s="9">
        <v>33420</v>
      </c>
      <c r="BA125" s="9">
        <v>32670</v>
      </c>
      <c r="BB125" s="9">
        <v>31270</v>
      </c>
      <c r="BC125" s="9">
        <v>31460</v>
      </c>
      <c r="BD125" s="9">
        <v>31940</v>
      </c>
      <c r="BE125" s="9">
        <v>31720</v>
      </c>
      <c r="BF125" s="9">
        <v>32140</v>
      </c>
      <c r="BG125" s="9">
        <v>33540</v>
      </c>
      <c r="BH125" s="9">
        <v>34670</v>
      </c>
      <c r="BI125" s="9">
        <v>34870</v>
      </c>
      <c r="BJ125" s="9">
        <v>34960</v>
      </c>
      <c r="BK125" s="9">
        <v>34140</v>
      </c>
      <c r="BL125" s="9">
        <v>33660</v>
      </c>
      <c r="BM125" s="9">
        <v>33180</v>
      </c>
      <c r="BN125" s="9">
        <v>32500</v>
      </c>
      <c r="BO125" s="9">
        <v>32060</v>
      </c>
    </row>
    <row r="126" spans="3:67" x14ac:dyDescent="0.2">
      <c r="C126" s="3">
        <v>54</v>
      </c>
      <c r="E126" s="9">
        <v>22480</v>
      </c>
      <c r="F126" s="9">
        <v>22620</v>
      </c>
      <c r="G126" s="9">
        <v>23190</v>
      </c>
      <c r="H126" s="9">
        <v>23710</v>
      </c>
      <c r="I126" s="9">
        <v>24700</v>
      </c>
      <c r="J126" s="9">
        <v>25110</v>
      </c>
      <c r="K126" s="9">
        <v>25120</v>
      </c>
      <c r="L126" s="9">
        <v>26300</v>
      </c>
      <c r="M126" s="9">
        <v>26720</v>
      </c>
      <c r="N126" s="9">
        <v>27730</v>
      </c>
      <c r="O126" s="9">
        <v>28390</v>
      </c>
      <c r="P126" s="9">
        <v>28150</v>
      </c>
      <c r="Q126" s="9">
        <v>27860</v>
      </c>
      <c r="R126" s="9">
        <v>26890</v>
      </c>
      <c r="S126" s="9">
        <v>26540</v>
      </c>
      <c r="T126" s="9">
        <v>26360</v>
      </c>
      <c r="U126" s="9">
        <v>26700</v>
      </c>
      <c r="V126" s="9">
        <v>27050</v>
      </c>
      <c r="W126" s="9">
        <v>26820</v>
      </c>
      <c r="X126" s="9">
        <v>27420</v>
      </c>
      <c r="Y126" s="9">
        <v>27090</v>
      </c>
      <c r="Z126" s="9">
        <v>26120</v>
      </c>
      <c r="AA126" s="9">
        <v>25350</v>
      </c>
      <c r="AB126" s="9">
        <v>24300</v>
      </c>
      <c r="AC126" s="9">
        <v>23520</v>
      </c>
      <c r="AD126" s="9">
        <v>23540</v>
      </c>
      <c r="AE126" s="9">
        <v>22990</v>
      </c>
      <c r="AF126" s="9">
        <v>23480</v>
      </c>
      <c r="AG126" s="9">
        <v>23870</v>
      </c>
      <c r="AH126" s="9">
        <v>24460</v>
      </c>
      <c r="AI126" s="9">
        <v>24710</v>
      </c>
      <c r="AJ126" s="9">
        <v>25580</v>
      </c>
      <c r="AK126" s="9">
        <v>25910</v>
      </c>
      <c r="AL126" s="9">
        <v>26310</v>
      </c>
      <c r="AM126" s="9">
        <v>27240</v>
      </c>
      <c r="AN126" s="9">
        <v>28270</v>
      </c>
      <c r="AO126" s="9">
        <v>29600</v>
      </c>
      <c r="AP126" s="9">
        <v>31250</v>
      </c>
      <c r="AQ126" s="9">
        <v>32770</v>
      </c>
      <c r="AR126" s="9">
        <v>34220</v>
      </c>
      <c r="AS126" s="9">
        <v>34020</v>
      </c>
      <c r="AT126" s="9">
        <v>34250</v>
      </c>
      <c r="AU126" s="9">
        <v>34070</v>
      </c>
      <c r="AV126" s="9">
        <v>34310</v>
      </c>
      <c r="AW126" s="9">
        <v>34310</v>
      </c>
      <c r="AX126" s="9">
        <v>33490</v>
      </c>
      <c r="AY126" s="9">
        <v>33120</v>
      </c>
      <c r="AZ126" s="9">
        <v>32510</v>
      </c>
      <c r="BA126" s="9">
        <v>33200</v>
      </c>
      <c r="BB126" s="9">
        <v>32450</v>
      </c>
      <c r="BC126" s="9">
        <v>31060</v>
      </c>
      <c r="BD126" s="9">
        <v>31250</v>
      </c>
      <c r="BE126" s="9">
        <v>31730</v>
      </c>
      <c r="BF126" s="9">
        <v>31510</v>
      </c>
      <c r="BG126" s="9">
        <v>31930</v>
      </c>
      <c r="BH126" s="9">
        <v>33320</v>
      </c>
      <c r="BI126" s="9">
        <v>34440</v>
      </c>
      <c r="BJ126" s="9">
        <v>34650</v>
      </c>
      <c r="BK126" s="9">
        <v>34730</v>
      </c>
      <c r="BL126" s="9">
        <v>33920</v>
      </c>
      <c r="BM126" s="9">
        <v>33450</v>
      </c>
      <c r="BN126" s="9">
        <v>32970</v>
      </c>
      <c r="BO126" s="9">
        <v>32290</v>
      </c>
    </row>
    <row r="127" spans="3:67" x14ac:dyDescent="0.2">
      <c r="C127" s="3">
        <v>55</v>
      </c>
      <c r="E127" s="9">
        <v>21500</v>
      </c>
      <c r="F127" s="9">
        <v>21910</v>
      </c>
      <c r="G127" s="9">
        <v>22020</v>
      </c>
      <c r="H127" s="9">
        <v>22670</v>
      </c>
      <c r="I127" s="9">
        <v>23160</v>
      </c>
      <c r="J127" s="9">
        <v>24080</v>
      </c>
      <c r="K127" s="9">
        <v>24520</v>
      </c>
      <c r="L127" s="9">
        <v>24550</v>
      </c>
      <c r="M127" s="9">
        <v>25880</v>
      </c>
      <c r="N127" s="9">
        <v>26280</v>
      </c>
      <c r="O127" s="9">
        <v>27230</v>
      </c>
      <c r="P127" s="9">
        <v>27850</v>
      </c>
      <c r="Q127" s="9">
        <v>27620</v>
      </c>
      <c r="R127" s="9">
        <v>27350</v>
      </c>
      <c r="S127" s="9">
        <v>26420</v>
      </c>
      <c r="T127" s="9">
        <v>26070</v>
      </c>
      <c r="U127" s="9">
        <v>25910</v>
      </c>
      <c r="V127" s="9">
        <v>26260</v>
      </c>
      <c r="W127" s="9">
        <v>26610</v>
      </c>
      <c r="X127" s="9">
        <v>26390</v>
      </c>
      <c r="Y127" s="9">
        <v>26990</v>
      </c>
      <c r="Z127" s="9">
        <v>26670</v>
      </c>
      <c r="AA127" s="9">
        <v>25730</v>
      </c>
      <c r="AB127" s="9">
        <v>24970</v>
      </c>
      <c r="AC127" s="9">
        <v>23940</v>
      </c>
      <c r="AD127" s="9">
        <v>23170</v>
      </c>
      <c r="AE127" s="9">
        <v>23200</v>
      </c>
      <c r="AF127" s="9">
        <v>22660</v>
      </c>
      <c r="AG127" s="9">
        <v>23140</v>
      </c>
      <c r="AH127" s="9">
        <v>23530</v>
      </c>
      <c r="AI127" s="9">
        <v>24120</v>
      </c>
      <c r="AJ127" s="9">
        <v>24360</v>
      </c>
      <c r="AK127" s="9">
        <v>25220</v>
      </c>
      <c r="AL127" s="9">
        <v>25540</v>
      </c>
      <c r="AM127" s="9">
        <v>25950</v>
      </c>
      <c r="AN127" s="9">
        <v>26860</v>
      </c>
      <c r="AO127" s="9">
        <v>27880</v>
      </c>
      <c r="AP127" s="9">
        <v>29190</v>
      </c>
      <c r="AQ127" s="9">
        <v>30830</v>
      </c>
      <c r="AR127" s="9">
        <v>32330</v>
      </c>
      <c r="AS127" s="9">
        <v>33760</v>
      </c>
      <c r="AT127" s="9">
        <v>33560</v>
      </c>
      <c r="AU127" s="9">
        <v>33790</v>
      </c>
      <c r="AV127" s="9">
        <v>33620</v>
      </c>
      <c r="AW127" s="9">
        <v>33860</v>
      </c>
      <c r="AX127" s="9">
        <v>33860</v>
      </c>
      <c r="AY127" s="9">
        <v>33050</v>
      </c>
      <c r="AZ127" s="9">
        <v>32690</v>
      </c>
      <c r="BA127" s="9">
        <v>32080</v>
      </c>
      <c r="BB127" s="9">
        <v>32770</v>
      </c>
      <c r="BC127" s="9">
        <v>32030</v>
      </c>
      <c r="BD127" s="9">
        <v>30660</v>
      </c>
      <c r="BE127" s="9">
        <v>30850</v>
      </c>
      <c r="BF127" s="9">
        <v>31320</v>
      </c>
      <c r="BG127" s="9">
        <v>31100</v>
      </c>
      <c r="BH127" s="9">
        <v>31520</v>
      </c>
      <c r="BI127" s="9">
        <v>32890</v>
      </c>
      <c r="BJ127" s="9">
        <v>34000</v>
      </c>
      <c r="BK127" s="9">
        <v>34210</v>
      </c>
      <c r="BL127" s="9">
        <v>34290</v>
      </c>
      <c r="BM127" s="9">
        <v>33490</v>
      </c>
      <c r="BN127" s="9">
        <v>33020</v>
      </c>
      <c r="BO127" s="9">
        <v>32550</v>
      </c>
    </row>
    <row r="128" spans="3:67" x14ac:dyDescent="0.2">
      <c r="C128" s="3">
        <v>56</v>
      </c>
      <c r="E128" s="9">
        <v>21270</v>
      </c>
      <c r="F128" s="9">
        <v>21180</v>
      </c>
      <c r="G128" s="9">
        <v>21550</v>
      </c>
      <c r="H128" s="9">
        <v>21710</v>
      </c>
      <c r="I128" s="9">
        <v>22370</v>
      </c>
      <c r="J128" s="9">
        <v>22840</v>
      </c>
      <c r="K128" s="9">
        <v>23770</v>
      </c>
      <c r="L128" s="9">
        <v>24220</v>
      </c>
      <c r="M128" s="9">
        <v>24400</v>
      </c>
      <c r="N128" s="9">
        <v>25720</v>
      </c>
      <c r="O128" s="9">
        <v>26080</v>
      </c>
      <c r="P128" s="9">
        <v>27000</v>
      </c>
      <c r="Q128" s="9">
        <v>27630</v>
      </c>
      <c r="R128" s="9">
        <v>27420</v>
      </c>
      <c r="S128" s="9">
        <v>27160</v>
      </c>
      <c r="T128" s="9">
        <v>26240</v>
      </c>
      <c r="U128" s="9">
        <v>25920</v>
      </c>
      <c r="V128" s="9">
        <v>25760</v>
      </c>
      <c r="W128" s="9">
        <v>26120</v>
      </c>
      <c r="X128" s="9">
        <v>26480</v>
      </c>
      <c r="Y128" s="9">
        <v>26270</v>
      </c>
      <c r="Z128" s="9">
        <v>26880</v>
      </c>
      <c r="AA128" s="9">
        <v>26560</v>
      </c>
      <c r="AB128" s="9">
        <v>25630</v>
      </c>
      <c r="AC128" s="9">
        <v>24870</v>
      </c>
      <c r="AD128" s="9">
        <v>23860</v>
      </c>
      <c r="AE128" s="9">
        <v>23090</v>
      </c>
      <c r="AF128" s="9">
        <v>23120</v>
      </c>
      <c r="AG128" s="9">
        <v>22580</v>
      </c>
      <c r="AH128" s="9">
        <v>23070</v>
      </c>
      <c r="AI128" s="9">
        <v>23450</v>
      </c>
      <c r="AJ128" s="9">
        <v>24050</v>
      </c>
      <c r="AK128" s="9">
        <v>24290</v>
      </c>
      <c r="AL128" s="9">
        <v>25150</v>
      </c>
      <c r="AM128" s="9">
        <v>25470</v>
      </c>
      <c r="AN128" s="9">
        <v>25880</v>
      </c>
      <c r="AO128" s="9">
        <v>26790</v>
      </c>
      <c r="AP128" s="9">
        <v>27810</v>
      </c>
      <c r="AQ128" s="9">
        <v>29120</v>
      </c>
      <c r="AR128" s="9">
        <v>30750</v>
      </c>
      <c r="AS128" s="9">
        <v>32250</v>
      </c>
      <c r="AT128" s="9">
        <v>33690</v>
      </c>
      <c r="AU128" s="9">
        <v>33490</v>
      </c>
      <c r="AV128" s="9">
        <v>33720</v>
      </c>
      <c r="AW128" s="9">
        <v>33550</v>
      </c>
      <c r="AX128" s="9">
        <v>33790</v>
      </c>
      <c r="AY128" s="9">
        <v>33800</v>
      </c>
      <c r="AZ128" s="9">
        <v>32980</v>
      </c>
      <c r="BA128" s="9">
        <v>32620</v>
      </c>
      <c r="BB128" s="9">
        <v>32020</v>
      </c>
      <c r="BC128" s="9">
        <v>32710</v>
      </c>
      <c r="BD128" s="9">
        <v>31970</v>
      </c>
      <c r="BE128" s="9">
        <v>30600</v>
      </c>
      <c r="BF128" s="9">
        <v>30790</v>
      </c>
      <c r="BG128" s="9">
        <v>31260</v>
      </c>
      <c r="BH128" s="9">
        <v>31050</v>
      </c>
      <c r="BI128" s="9">
        <v>31460</v>
      </c>
      <c r="BJ128" s="9">
        <v>32840</v>
      </c>
      <c r="BK128" s="9">
        <v>33950</v>
      </c>
      <c r="BL128" s="9">
        <v>34160</v>
      </c>
      <c r="BM128" s="9">
        <v>34240</v>
      </c>
      <c r="BN128" s="9">
        <v>33440</v>
      </c>
      <c r="BO128" s="9">
        <v>32970</v>
      </c>
    </row>
    <row r="129" spans="3:67" x14ac:dyDescent="0.2">
      <c r="C129" s="3">
        <v>57</v>
      </c>
      <c r="E129" s="9">
        <v>20730</v>
      </c>
      <c r="F129" s="9">
        <v>20930</v>
      </c>
      <c r="G129" s="9">
        <v>20860</v>
      </c>
      <c r="H129" s="9">
        <v>21250</v>
      </c>
      <c r="I129" s="9">
        <v>21450</v>
      </c>
      <c r="J129" s="9">
        <v>22080</v>
      </c>
      <c r="K129" s="9">
        <v>22560</v>
      </c>
      <c r="L129" s="9">
        <v>23510</v>
      </c>
      <c r="M129" s="9">
        <v>24180</v>
      </c>
      <c r="N129" s="9">
        <v>24270</v>
      </c>
      <c r="O129" s="9">
        <v>25550</v>
      </c>
      <c r="P129" s="9">
        <v>25880</v>
      </c>
      <c r="Q129" s="9">
        <v>26800</v>
      </c>
      <c r="R129" s="9">
        <v>27440</v>
      </c>
      <c r="S129" s="9">
        <v>27240</v>
      </c>
      <c r="T129" s="9">
        <v>27000</v>
      </c>
      <c r="U129" s="9">
        <v>26100</v>
      </c>
      <c r="V129" s="9">
        <v>25780</v>
      </c>
      <c r="W129" s="9">
        <v>25630</v>
      </c>
      <c r="X129" s="9">
        <v>26000</v>
      </c>
      <c r="Y129" s="9">
        <v>26370</v>
      </c>
      <c r="Z129" s="9">
        <v>26170</v>
      </c>
      <c r="AA129" s="9">
        <v>26780</v>
      </c>
      <c r="AB129" s="9">
        <v>26460</v>
      </c>
      <c r="AC129" s="9">
        <v>25540</v>
      </c>
      <c r="AD129" s="9">
        <v>24800</v>
      </c>
      <c r="AE129" s="9">
        <v>23790</v>
      </c>
      <c r="AF129" s="9">
        <v>23020</v>
      </c>
      <c r="AG129" s="9">
        <v>23060</v>
      </c>
      <c r="AH129" s="9">
        <v>22520</v>
      </c>
      <c r="AI129" s="9">
        <v>23010</v>
      </c>
      <c r="AJ129" s="9">
        <v>23390</v>
      </c>
      <c r="AK129" s="9">
        <v>23980</v>
      </c>
      <c r="AL129" s="9">
        <v>24230</v>
      </c>
      <c r="AM129" s="9">
        <v>25090</v>
      </c>
      <c r="AN129" s="9">
        <v>25410</v>
      </c>
      <c r="AO129" s="9">
        <v>25820</v>
      </c>
      <c r="AP129" s="9">
        <v>26730</v>
      </c>
      <c r="AQ129" s="9">
        <v>27750</v>
      </c>
      <c r="AR129" s="9">
        <v>29060</v>
      </c>
      <c r="AS129" s="9">
        <v>30690</v>
      </c>
      <c r="AT129" s="9">
        <v>32190</v>
      </c>
      <c r="AU129" s="9">
        <v>33620</v>
      </c>
      <c r="AV129" s="9">
        <v>33430</v>
      </c>
      <c r="AW129" s="9">
        <v>33660</v>
      </c>
      <c r="AX129" s="9">
        <v>33490</v>
      </c>
      <c r="AY129" s="9">
        <v>33730</v>
      </c>
      <c r="AZ129" s="9">
        <v>33740</v>
      </c>
      <c r="BA129" s="9">
        <v>32930</v>
      </c>
      <c r="BB129" s="9">
        <v>32570</v>
      </c>
      <c r="BC129" s="9">
        <v>31970</v>
      </c>
      <c r="BD129" s="9">
        <v>32650</v>
      </c>
      <c r="BE129" s="9">
        <v>31920</v>
      </c>
      <c r="BF129" s="9">
        <v>30550</v>
      </c>
      <c r="BG129" s="9">
        <v>30750</v>
      </c>
      <c r="BH129" s="9">
        <v>31220</v>
      </c>
      <c r="BI129" s="9">
        <v>31000</v>
      </c>
      <c r="BJ129" s="9">
        <v>31420</v>
      </c>
      <c r="BK129" s="9">
        <v>32800</v>
      </c>
      <c r="BL129" s="9">
        <v>33910</v>
      </c>
      <c r="BM129" s="9">
        <v>34110</v>
      </c>
      <c r="BN129" s="9">
        <v>34200</v>
      </c>
      <c r="BO129" s="9">
        <v>33400</v>
      </c>
    </row>
    <row r="130" spans="3:67" x14ac:dyDescent="0.2">
      <c r="C130" s="3">
        <v>58</v>
      </c>
      <c r="E130" s="9">
        <v>20420</v>
      </c>
      <c r="F130" s="9">
        <v>20300</v>
      </c>
      <c r="G130" s="9">
        <v>20520</v>
      </c>
      <c r="H130" s="9">
        <v>20450</v>
      </c>
      <c r="I130" s="9">
        <v>20900</v>
      </c>
      <c r="J130" s="9">
        <v>21070</v>
      </c>
      <c r="K130" s="9">
        <v>21700</v>
      </c>
      <c r="L130" s="9">
        <v>22190</v>
      </c>
      <c r="M130" s="9">
        <v>23210</v>
      </c>
      <c r="N130" s="9">
        <v>23940</v>
      </c>
      <c r="O130" s="9">
        <v>23990</v>
      </c>
      <c r="P130" s="9">
        <v>25230</v>
      </c>
      <c r="Q130" s="9">
        <v>25570</v>
      </c>
      <c r="R130" s="9">
        <v>26500</v>
      </c>
      <c r="S130" s="9">
        <v>27140</v>
      </c>
      <c r="T130" s="9">
        <v>26960</v>
      </c>
      <c r="U130" s="9">
        <v>26730</v>
      </c>
      <c r="V130" s="9">
        <v>25850</v>
      </c>
      <c r="W130" s="9">
        <v>25550</v>
      </c>
      <c r="X130" s="9">
        <v>25410</v>
      </c>
      <c r="Y130" s="9">
        <v>25780</v>
      </c>
      <c r="Z130" s="9">
        <v>26150</v>
      </c>
      <c r="AA130" s="9">
        <v>25960</v>
      </c>
      <c r="AB130" s="9">
        <v>26570</v>
      </c>
      <c r="AC130" s="9">
        <v>26270</v>
      </c>
      <c r="AD130" s="9">
        <v>25360</v>
      </c>
      <c r="AE130" s="9">
        <v>24620</v>
      </c>
      <c r="AF130" s="9">
        <v>23620</v>
      </c>
      <c r="AG130" s="9">
        <v>22860</v>
      </c>
      <c r="AH130" s="9">
        <v>22900</v>
      </c>
      <c r="AI130" s="9">
        <v>22370</v>
      </c>
      <c r="AJ130" s="9">
        <v>22850</v>
      </c>
      <c r="AK130" s="9">
        <v>23230</v>
      </c>
      <c r="AL130" s="9">
        <v>23820</v>
      </c>
      <c r="AM130" s="9">
        <v>24070</v>
      </c>
      <c r="AN130" s="9">
        <v>24920</v>
      </c>
      <c r="AO130" s="9">
        <v>25250</v>
      </c>
      <c r="AP130" s="9">
        <v>25650</v>
      </c>
      <c r="AQ130" s="9">
        <v>26560</v>
      </c>
      <c r="AR130" s="9">
        <v>27570</v>
      </c>
      <c r="AS130" s="9">
        <v>28880</v>
      </c>
      <c r="AT130" s="9">
        <v>30500</v>
      </c>
      <c r="AU130" s="9">
        <v>31990</v>
      </c>
      <c r="AV130" s="9">
        <v>33420</v>
      </c>
      <c r="AW130" s="9">
        <v>33220</v>
      </c>
      <c r="AX130" s="9">
        <v>33460</v>
      </c>
      <c r="AY130" s="9">
        <v>33290</v>
      </c>
      <c r="AZ130" s="9">
        <v>33530</v>
      </c>
      <c r="BA130" s="9">
        <v>33540</v>
      </c>
      <c r="BB130" s="9">
        <v>32730</v>
      </c>
      <c r="BC130" s="9">
        <v>32380</v>
      </c>
      <c r="BD130" s="9">
        <v>31780</v>
      </c>
      <c r="BE130" s="9">
        <v>32470</v>
      </c>
      <c r="BF130" s="9">
        <v>31740</v>
      </c>
      <c r="BG130" s="9">
        <v>30380</v>
      </c>
      <c r="BH130" s="9">
        <v>30570</v>
      </c>
      <c r="BI130" s="9">
        <v>31040</v>
      </c>
      <c r="BJ130" s="9">
        <v>30830</v>
      </c>
      <c r="BK130" s="9">
        <v>31250</v>
      </c>
      <c r="BL130" s="9">
        <v>32620</v>
      </c>
      <c r="BM130" s="9">
        <v>33720</v>
      </c>
      <c r="BN130" s="9">
        <v>33930</v>
      </c>
      <c r="BO130" s="9">
        <v>34010</v>
      </c>
    </row>
    <row r="131" spans="3:67" x14ac:dyDescent="0.2">
      <c r="C131" s="3">
        <v>59</v>
      </c>
      <c r="E131" s="9">
        <v>19900</v>
      </c>
      <c r="F131" s="9">
        <v>19780</v>
      </c>
      <c r="G131" s="9">
        <v>19660</v>
      </c>
      <c r="H131" s="9">
        <v>19890</v>
      </c>
      <c r="I131" s="9">
        <v>19880</v>
      </c>
      <c r="J131" s="9">
        <v>20300</v>
      </c>
      <c r="K131" s="9">
        <v>20500</v>
      </c>
      <c r="L131" s="9">
        <v>21140</v>
      </c>
      <c r="M131" s="9">
        <v>21840</v>
      </c>
      <c r="N131" s="9">
        <v>22780</v>
      </c>
      <c r="O131" s="9">
        <v>23460</v>
      </c>
      <c r="P131" s="9">
        <v>23480</v>
      </c>
      <c r="Q131" s="9">
        <v>24700</v>
      </c>
      <c r="R131" s="9">
        <v>25050</v>
      </c>
      <c r="S131" s="9">
        <v>25990</v>
      </c>
      <c r="T131" s="9">
        <v>26630</v>
      </c>
      <c r="U131" s="9">
        <v>26470</v>
      </c>
      <c r="V131" s="9">
        <v>26260</v>
      </c>
      <c r="W131" s="9">
        <v>25410</v>
      </c>
      <c r="X131" s="9">
        <v>25120</v>
      </c>
      <c r="Y131" s="9">
        <v>25000</v>
      </c>
      <c r="Z131" s="9">
        <v>25370</v>
      </c>
      <c r="AA131" s="9">
        <v>25750</v>
      </c>
      <c r="AB131" s="9">
        <v>25560</v>
      </c>
      <c r="AC131" s="9">
        <v>26170</v>
      </c>
      <c r="AD131" s="9">
        <v>25880</v>
      </c>
      <c r="AE131" s="9">
        <v>24980</v>
      </c>
      <c r="AF131" s="9">
        <v>24260</v>
      </c>
      <c r="AG131" s="9">
        <v>23280</v>
      </c>
      <c r="AH131" s="9">
        <v>22540</v>
      </c>
      <c r="AI131" s="9">
        <v>22570</v>
      </c>
      <c r="AJ131" s="9">
        <v>22050</v>
      </c>
      <c r="AK131" s="9">
        <v>22530</v>
      </c>
      <c r="AL131" s="9">
        <v>22910</v>
      </c>
      <c r="AM131" s="9">
        <v>23490</v>
      </c>
      <c r="AN131" s="9">
        <v>23730</v>
      </c>
      <c r="AO131" s="9">
        <v>24570</v>
      </c>
      <c r="AP131" s="9">
        <v>24900</v>
      </c>
      <c r="AQ131" s="9">
        <v>25300</v>
      </c>
      <c r="AR131" s="9">
        <v>26190</v>
      </c>
      <c r="AS131" s="9">
        <v>27190</v>
      </c>
      <c r="AT131" s="9">
        <v>28480</v>
      </c>
      <c r="AU131" s="9">
        <v>30080</v>
      </c>
      <c r="AV131" s="9">
        <v>31550</v>
      </c>
      <c r="AW131" s="9">
        <v>32960</v>
      </c>
      <c r="AX131" s="9">
        <v>32770</v>
      </c>
      <c r="AY131" s="9">
        <v>33000</v>
      </c>
      <c r="AZ131" s="9">
        <v>32840</v>
      </c>
      <c r="BA131" s="9">
        <v>33080</v>
      </c>
      <c r="BB131" s="9">
        <v>33090</v>
      </c>
      <c r="BC131" s="9">
        <v>32300</v>
      </c>
      <c r="BD131" s="9">
        <v>31950</v>
      </c>
      <c r="BE131" s="9">
        <v>31360</v>
      </c>
      <c r="BF131" s="9">
        <v>32040</v>
      </c>
      <c r="BG131" s="9">
        <v>31320</v>
      </c>
      <c r="BH131" s="9">
        <v>29980</v>
      </c>
      <c r="BI131" s="9">
        <v>30180</v>
      </c>
      <c r="BJ131" s="9">
        <v>30640</v>
      </c>
      <c r="BK131" s="9">
        <v>30430</v>
      </c>
      <c r="BL131" s="9">
        <v>30840</v>
      </c>
      <c r="BM131" s="9">
        <v>32200</v>
      </c>
      <c r="BN131" s="9">
        <v>33290</v>
      </c>
      <c r="BO131" s="9">
        <v>33490</v>
      </c>
    </row>
    <row r="132" spans="3:67" x14ac:dyDescent="0.2">
      <c r="C132" s="3">
        <v>60</v>
      </c>
      <c r="E132" s="9">
        <v>16120</v>
      </c>
      <c r="F132" s="9">
        <v>19190</v>
      </c>
      <c r="G132" s="9">
        <v>19090</v>
      </c>
      <c r="H132" s="9">
        <v>19030</v>
      </c>
      <c r="I132" s="9">
        <v>19290</v>
      </c>
      <c r="J132" s="9">
        <v>19270</v>
      </c>
      <c r="K132" s="9">
        <v>19700</v>
      </c>
      <c r="L132" s="9">
        <v>19930</v>
      </c>
      <c r="M132" s="9">
        <v>20800</v>
      </c>
      <c r="N132" s="9">
        <v>21370</v>
      </c>
      <c r="O132" s="9">
        <v>22260</v>
      </c>
      <c r="P132" s="9">
        <v>22900</v>
      </c>
      <c r="Q132" s="9">
        <v>22940</v>
      </c>
      <c r="R132" s="9">
        <v>24150</v>
      </c>
      <c r="S132" s="9">
        <v>24510</v>
      </c>
      <c r="T132" s="9">
        <v>25440</v>
      </c>
      <c r="U132" s="9">
        <v>26080</v>
      </c>
      <c r="V132" s="9">
        <v>25940</v>
      </c>
      <c r="W132" s="9">
        <v>25750</v>
      </c>
      <c r="X132" s="9">
        <v>24930</v>
      </c>
      <c r="Y132" s="9">
        <v>24660</v>
      </c>
      <c r="Z132" s="9">
        <v>24540</v>
      </c>
      <c r="AA132" s="9">
        <v>24920</v>
      </c>
      <c r="AB132" s="9">
        <v>25300</v>
      </c>
      <c r="AC132" s="9">
        <v>25120</v>
      </c>
      <c r="AD132" s="9">
        <v>25720</v>
      </c>
      <c r="AE132" s="9">
        <v>25440</v>
      </c>
      <c r="AF132" s="9">
        <v>24570</v>
      </c>
      <c r="AG132" s="9">
        <v>23860</v>
      </c>
      <c r="AH132" s="9">
        <v>22890</v>
      </c>
      <c r="AI132" s="9">
        <v>22160</v>
      </c>
      <c r="AJ132" s="9">
        <v>22200</v>
      </c>
      <c r="AK132" s="9">
        <v>21680</v>
      </c>
      <c r="AL132" s="9">
        <v>22150</v>
      </c>
      <c r="AM132" s="9">
        <v>22530</v>
      </c>
      <c r="AN132" s="9">
        <v>23110</v>
      </c>
      <c r="AO132" s="9">
        <v>23340</v>
      </c>
      <c r="AP132" s="9">
        <v>24180</v>
      </c>
      <c r="AQ132" s="9">
        <v>24490</v>
      </c>
      <c r="AR132" s="9">
        <v>24890</v>
      </c>
      <c r="AS132" s="9">
        <v>25770</v>
      </c>
      <c r="AT132" s="9">
        <v>26750</v>
      </c>
      <c r="AU132" s="9">
        <v>28020</v>
      </c>
      <c r="AV132" s="9">
        <v>29600</v>
      </c>
      <c r="AW132" s="9">
        <v>31050</v>
      </c>
      <c r="AX132" s="9">
        <v>32430</v>
      </c>
      <c r="AY132" s="9">
        <v>32250</v>
      </c>
      <c r="AZ132" s="9">
        <v>32480</v>
      </c>
      <c r="BA132" s="9">
        <v>32320</v>
      </c>
      <c r="BB132" s="9">
        <v>32560</v>
      </c>
      <c r="BC132" s="9">
        <v>32570</v>
      </c>
      <c r="BD132" s="9">
        <v>31790</v>
      </c>
      <c r="BE132" s="9">
        <v>31450</v>
      </c>
      <c r="BF132" s="9">
        <v>30880</v>
      </c>
      <c r="BG132" s="9">
        <v>31540</v>
      </c>
      <c r="BH132" s="9">
        <v>30840</v>
      </c>
      <c r="BI132" s="9">
        <v>29530</v>
      </c>
      <c r="BJ132" s="9">
        <v>29710</v>
      </c>
      <c r="BK132" s="9">
        <v>30170</v>
      </c>
      <c r="BL132" s="9">
        <v>29970</v>
      </c>
      <c r="BM132" s="9">
        <v>30370</v>
      </c>
      <c r="BN132" s="9">
        <v>31710</v>
      </c>
      <c r="BO132" s="9">
        <v>32780</v>
      </c>
    </row>
    <row r="133" spans="3:67" x14ac:dyDescent="0.2">
      <c r="C133" s="3">
        <v>61</v>
      </c>
      <c r="E133" s="9">
        <v>14710</v>
      </c>
      <c r="F133" s="9">
        <v>15500</v>
      </c>
      <c r="G133" s="9">
        <v>18470</v>
      </c>
      <c r="H133" s="9">
        <v>18380</v>
      </c>
      <c r="I133" s="9">
        <v>18380</v>
      </c>
      <c r="J133" s="9">
        <v>18640</v>
      </c>
      <c r="K133" s="9">
        <v>18650</v>
      </c>
      <c r="L133" s="9">
        <v>19100</v>
      </c>
      <c r="M133" s="9">
        <v>19490</v>
      </c>
      <c r="N133" s="9">
        <v>20300</v>
      </c>
      <c r="O133" s="9">
        <v>20830</v>
      </c>
      <c r="P133" s="9">
        <v>21660</v>
      </c>
      <c r="Q133" s="9">
        <v>22290</v>
      </c>
      <c r="R133" s="9">
        <v>22350</v>
      </c>
      <c r="S133" s="9">
        <v>23550</v>
      </c>
      <c r="T133" s="9">
        <v>23920</v>
      </c>
      <c r="U133" s="9">
        <v>24830</v>
      </c>
      <c r="V133" s="9">
        <v>25480</v>
      </c>
      <c r="W133" s="9">
        <v>25350</v>
      </c>
      <c r="X133" s="9">
        <v>25180</v>
      </c>
      <c r="Y133" s="9">
        <v>24380</v>
      </c>
      <c r="Z133" s="9">
        <v>24130</v>
      </c>
      <c r="AA133" s="9">
        <v>24030</v>
      </c>
      <c r="AB133" s="9">
        <v>24400</v>
      </c>
      <c r="AC133" s="9">
        <v>24770</v>
      </c>
      <c r="AD133" s="9">
        <v>24610</v>
      </c>
      <c r="AE133" s="9">
        <v>25200</v>
      </c>
      <c r="AF133" s="9">
        <v>24920</v>
      </c>
      <c r="AG133" s="9">
        <v>24070</v>
      </c>
      <c r="AH133" s="9">
        <v>23380</v>
      </c>
      <c r="AI133" s="9">
        <v>22430</v>
      </c>
      <c r="AJ133" s="9">
        <v>21710</v>
      </c>
      <c r="AK133" s="9">
        <v>21750</v>
      </c>
      <c r="AL133" s="9">
        <v>21250</v>
      </c>
      <c r="AM133" s="9">
        <v>21710</v>
      </c>
      <c r="AN133" s="9">
        <v>22080</v>
      </c>
      <c r="AO133" s="9">
        <v>22650</v>
      </c>
      <c r="AP133" s="9">
        <v>22880</v>
      </c>
      <c r="AQ133" s="9">
        <v>23700</v>
      </c>
      <c r="AR133" s="9">
        <v>24010</v>
      </c>
      <c r="AS133" s="9">
        <v>24400</v>
      </c>
      <c r="AT133" s="9">
        <v>25270</v>
      </c>
      <c r="AU133" s="9">
        <v>26230</v>
      </c>
      <c r="AV133" s="9">
        <v>27470</v>
      </c>
      <c r="AW133" s="9">
        <v>29020</v>
      </c>
      <c r="AX133" s="9">
        <v>30440</v>
      </c>
      <c r="AY133" s="9">
        <v>31800</v>
      </c>
      <c r="AZ133" s="9">
        <v>31620</v>
      </c>
      <c r="BA133" s="9">
        <v>31850</v>
      </c>
      <c r="BB133" s="9">
        <v>31700</v>
      </c>
      <c r="BC133" s="9">
        <v>31930</v>
      </c>
      <c r="BD133" s="9">
        <v>31940</v>
      </c>
      <c r="BE133" s="9">
        <v>31180</v>
      </c>
      <c r="BF133" s="9">
        <v>30850</v>
      </c>
      <c r="BG133" s="9">
        <v>30290</v>
      </c>
      <c r="BH133" s="9">
        <v>30940</v>
      </c>
      <c r="BI133" s="9">
        <v>30260</v>
      </c>
      <c r="BJ133" s="9">
        <v>28970</v>
      </c>
      <c r="BK133" s="9">
        <v>29160</v>
      </c>
      <c r="BL133" s="9">
        <v>29600</v>
      </c>
      <c r="BM133" s="9">
        <v>29410</v>
      </c>
      <c r="BN133" s="9">
        <v>29810</v>
      </c>
      <c r="BO133" s="9">
        <v>31110</v>
      </c>
    </row>
    <row r="134" spans="3:67" x14ac:dyDescent="0.2">
      <c r="C134" s="3">
        <v>62</v>
      </c>
      <c r="E134" s="9">
        <v>13520</v>
      </c>
      <c r="F134" s="9">
        <v>14100</v>
      </c>
      <c r="G134" s="9">
        <v>14870</v>
      </c>
      <c r="H134" s="9">
        <v>17750</v>
      </c>
      <c r="I134" s="9">
        <v>17690</v>
      </c>
      <c r="J134" s="9">
        <v>17730</v>
      </c>
      <c r="K134" s="9">
        <v>18000</v>
      </c>
      <c r="L134" s="9">
        <v>18040</v>
      </c>
      <c r="M134" s="9">
        <v>18640</v>
      </c>
      <c r="N134" s="9">
        <v>18990</v>
      </c>
      <c r="O134" s="9">
        <v>19760</v>
      </c>
      <c r="P134" s="9">
        <v>20240</v>
      </c>
      <c r="Q134" s="9">
        <v>21070</v>
      </c>
      <c r="R134" s="9">
        <v>21710</v>
      </c>
      <c r="S134" s="9">
        <v>21780</v>
      </c>
      <c r="T134" s="9">
        <v>22960</v>
      </c>
      <c r="U134" s="9">
        <v>23330</v>
      </c>
      <c r="V134" s="9">
        <v>24240</v>
      </c>
      <c r="W134" s="9">
        <v>24890</v>
      </c>
      <c r="X134" s="9">
        <v>24780</v>
      </c>
      <c r="Y134" s="9">
        <v>24620</v>
      </c>
      <c r="Z134" s="9">
        <v>23850</v>
      </c>
      <c r="AA134" s="9">
        <v>23610</v>
      </c>
      <c r="AB134" s="9">
        <v>23520</v>
      </c>
      <c r="AC134" s="9">
        <v>23890</v>
      </c>
      <c r="AD134" s="9">
        <v>24260</v>
      </c>
      <c r="AE134" s="9">
        <v>24100</v>
      </c>
      <c r="AF134" s="9">
        <v>24680</v>
      </c>
      <c r="AG134" s="9">
        <v>24410</v>
      </c>
      <c r="AH134" s="9">
        <v>23570</v>
      </c>
      <c r="AI134" s="9">
        <v>22900</v>
      </c>
      <c r="AJ134" s="9">
        <v>21970</v>
      </c>
      <c r="AK134" s="9">
        <v>21270</v>
      </c>
      <c r="AL134" s="9">
        <v>21310</v>
      </c>
      <c r="AM134" s="9">
        <v>20830</v>
      </c>
      <c r="AN134" s="9">
        <v>21280</v>
      </c>
      <c r="AO134" s="9">
        <v>21640</v>
      </c>
      <c r="AP134" s="9">
        <v>22200</v>
      </c>
      <c r="AQ134" s="9">
        <v>22430</v>
      </c>
      <c r="AR134" s="9">
        <v>23230</v>
      </c>
      <c r="AS134" s="9">
        <v>23540</v>
      </c>
      <c r="AT134" s="9">
        <v>23920</v>
      </c>
      <c r="AU134" s="9">
        <v>24770</v>
      </c>
      <c r="AV134" s="9">
        <v>25720</v>
      </c>
      <c r="AW134" s="9">
        <v>26930</v>
      </c>
      <c r="AX134" s="9">
        <v>28450</v>
      </c>
      <c r="AY134" s="9">
        <v>29840</v>
      </c>
      <c r="AZ134" s="9">
        <v>31180</v>
      </c>
      <c r="BA134" s="9">
        <v>31000</v>
      </c>
      <c r="BB134" s="9">
        <v>31230</v>
      </c>
      <c r="BC134" s="9">
        <v>31080</v>
      </c>
      <c r="BD134" s="9">
        <v>31310</v>
      </c>
      <c r="BE134" s="9">
        <v>31320</v>
      </c>
      <c r="BF134" s="9">
        <v>30580</v>
      </c>
      <c r="BG134" s="9">
        <v>30260</v>
      </c>
      <c r="BH134" s="9">
        <v>29710</v>
      </c>
      <c r="BI134" s="9">
        <v>30350</v>
      </c>
      <c r="BJ134" s="9">
        <v>29680</v>
      </c>
      <c r="BK134" s="9">
        <v>28420</v>
      </c>
      <c r="BL134" s="9">
        <v>28610</v>
      </c>
      <c r="BM134" s="9">
        <v>29050</v>
      </c>
      <c r="BN134" s="9">
        <v>28850</v>
      </c>
      <c r="BO134" s="9">
        <v>29250</v>
      </c>
    </row>
    <row r="135" spans="3:67" x14ac:dyDescent="0.2">
      <c r="C135" s="3">
        <v>63</v>
      </c>
      <c r="E135" s="9">
        <v>11360</v>
      </c>
      <c r="F135" s="9">
        <v>12890</v>
      </c>
      <c r="G135" s="9">
        <v>13480</v>
      </c>
      <c r="H135" s="9">
        <v>14230</v>
      </c>
      <c r="I135" s="9">
        <v>17030</v>
      </c>
      <c r="J135" s="9">
        <v>16990</v>
      </c>
      <c r="K135" s="9">
        <v>17070</v>
      </c>
      <c r="L135" s="9">
        <v>17370</v>
      </c>
      <c r="M135" s="9">
        <v>17730</v>
      </c>
      <c r="N135" s="9">
        <v>18120</v>
      </c>
      <c r="O135" s="9">
        <v>18440</v>
      </c>
      <c r="P135" s="9">
        <v>19170</v>
      </c>
      <c r="Q135" s="9">
        <v>19660</v>
      </c>
      <c r="R135" s="9">
        <v>20480</v>
      </c>
      <c r="S135" s="9">
        <v>21120</v>
      </c>
      <c r="T135" s="9">
        <v>21210</v>
      </c>
      <c r="U135" s="9">
        <v>22380</v>
      </c>
      <c r="V135" s="9">
        <v>22760</v>
      </c>
      <c r="W135" s="9">
        <v>23660</v>
      </c>
      <c r="X135" s="9">
        <v>24300</v>
      </c>
      <c r="Y135" s="9">
        <v>24210</v>
      </c>
      <c r="Z135" s="9">
        <v>24070</v>
      </c>
      <c r="AA135" s="9">
        <v>23330</v>
      </c>
      <c r="AB135" s="9">
        <v>23100</v>
      </c>
      <c r="AC135" s="9">
        <v>23020</v>
      </c>
      <c r="AD135" s="9">
        <v>23380</v>
      </c>
      <c r="AE135" s="9">
        <v>23750</v>
      </c>
      <c r="AF135" s="9">
        <v>23600</v>
      </c>
      <c r="AG135" s="9">
        <v>24170</v>
      </c>
      <c r="AH135" s="9">
        <v>23900</v>
      </c>
      <c r="AI135" s="9">
        <v>23080</v>
      </c>
      <c r="AJ135" s="9">
        <v>22420</v>
      </c>
      <c r="AK135" s="9">
        <v>21520</v>
      </c>
      <c r="AL135" s="9">
        <v>20840</v>
      </c>
      <c r="AM135" s="9">
        <v>20880</v>
      </c>
      <c r="AN135" s="9">
        <v>20400</v>
      </c>
      <c r="AO135" s="9">
        <v>20850</v>
      </c>
      <c r="AP135" s="9">
        <v>21210</v>
      </c>
      <c r="AQ135" s="9">
        <v>21750</v>
      </c>
      <c r="AR135" s="9">
        <v>21980</v>
      </c>
      <c r="AS135" s="9">
        <v>22760</v>
      </c>
      <c r="AT135" s="9">
        <v>23070</v>
      </c>
      <c r="AU135" s="9">
        <v>23440</v>
      </c>
      <c r="AV135" s="9">
        <v>24280</v>
      </c>
      <c r="AW135" s="9">
        <v>25200</v>
      </c>
      <c r="AX135" s="9">
        <v>26400</v>
      </c>
      <c r="AY135" s="9">
        <v>27880</v>
      </c>
      <c r="AZ135" s="9">
        <v>29250</v>
      </c>
      <c r="BA135" s="9">
        <v>30550</v>
      </c>
      <c r="BB135" s="9">
        <v>30390</v>
      </c>
      <c r="BC135" s="9">
        <v>30610</v>
      </c>
      <c r="BD135" s="9">
        <v>30470</v>
      </c>
      <c r="BE135" s="9">
        <v>30690</v>
      </c>
      <c r="BF135" s="9">
        <v>30710</v>
      </c>
      <c r="BG135" s="9">
        <v>29990</v>
      </c>
      <c r="BH135" s="9">
        <v>29670</v>
      </c>
      <c r="BI135" s="9">
        <v>29130</v>
      </c>
      <c r="BJ135" s="9">
        <v>29770</v>
      </c>
      <c r="BK135" s="9">
        <v>29110</v>
      </c>
      <c r="BL135" s="9">
        <v>27880</v>
      </c>
      <c r="BM135" s="9">
        <v>28060</v>
      </c>
      <c r="BN135" s="9">
        <v>28490</v>
      </c>
      <c r="BO135" s="9">
        <v>28310</v>
      </c>
    </row>
    <row r="136" spans="3:67" x14ac:dyDescent="0.2">
      <c r="C136" s="3">
        <v>64</v>
      </c>
      <c r="E136" s="9">
        <v>11650</v>
      </c>
      <c r="F136" s="9">
        <v>10640</v>
      </c>
      <c r="G136" s="9">
        <v>12140</v>
      </c>
      <c r="H136" s="9">
        <v>12750</v>
      </c>
      <c r="I136" s="9">
        <v>13530</v>
      </c>
      <c r="J136" s="9">
        <v>16220</v>
      </c>
      <c r="K136" s="9">
        <v>16220</v>
      </c>
      <c r="L136" s="9">
        <v>16340</v>
      </c>
      <c r="M136" s="9">
        <v>16780</v>
      </c>
      <c r="N136" s="9">
        <v>17120</v>
      </c>
      <c r="O136" s="9">
        <v>17490</v>
      </c>
      <c r="P136" s="9">
        <v>17810</v>
      </c>
      <c r="Q136" s="9">
        <v>18540</v>
      </c>
      <c r="R136" s="9">
        <v>19050</v>
      </c>
      <c r="S136" s="9">
        <v>19880</v>
      </c>
      <c r="T136" s="9">
        <v>20530</v>
      </c>
      <c r="U136" s="9">
        <v>20650</v>
      </c>
      <c r="V136" s="9">
        <v>21810</v>
      </c>
      <c r="W136" s="9">
        <v>22210</v>
      </c>
      <c r="X136" s="9">
        <v>23110</v>
      </c>
      <c r="Y136" s="9">
        <v>23760</v>
      </c>
      <c r="Z136" s="9">
        <v>23690</v>
      </c>
      <c r="AA136" s="9">
        <v>23560</v>
      </c>
      <c r="AB136" s="9">
        <v>22850</v>
      </c>
      <c r="AC136" s="9">
        <v>22640</v>
      </c>
      <c r="AD136" s="9">
        <v>22570</v>
      </c>
      <c r="AE136" s="9">
        <v>22930</v>
      </c>
      <c r="AF136" s="9">
        <v>23300</v>
      </c>
      <c r="AG136" s="9">
        <v>23150</v>
      </c>
      <c r="AH136" s="9">
        <v>23700</v>
      </c>
      <c r="AI136" s="9">
        <v>23440</v>
      </c>
      <c r="AJ136" s="9">
        <v>22640</v>
      </c>
      <c r="AK136" s="9">
        <v>21990</v>
      </c>
      <c r="AL136" s="9">
        <v>21110</v>
      </c>
      <c r="AM136" s="9">
        <v>20450</v>
      </c>
      <c r="AN136" s="9">
        <v>20490</v>
      </c>
      <c r="AO136" s="9">
        <v>20030</v>
      </c>
      <c r="AP136" s="9">
        <v>20470</v>
      </c>
      <c r="AQ136" s="9">
        <v>20820</v>
      </c>
      <c r="AR136" s="9">
        <v>21350</v>
      </c>
      <c r="AS136" s="9">
        <v>21580</v>
      </c>
      <c r="AT136" s="9">
        <v>22350</v>
      </c>
      <c r="AU136" s="9">
        <v>22650</v>
      </c>
      <c r="AV136" s="9">
        <v>23020</v>
      </c>
      <c r="AW136" s="9">
        <v>23840</v>
      </c>
      <c r="AX136" s="9">
        <v>24750</v>
      </c>
      <c r="AY136" s="9">
        <v>25920</v>
      </c>
      <c r="AZ136" s="9">
        <v>27380</v>
      </c>
      <c r="BA136" s="9">
        <v>28720</v>
      </c>
      <c r="BB136" s="9">
        <v>30010</v>
      </c>
      <c r="BC136" s="9">
        <v>29840</v>
      </c>
      <c r="BD136" s="9">
        <v>30060</v>
      </c>
      <c r="BE136" s="9">
        <v>29930</v>
      </c>
      <c r="BF136" s="9">
        <v>30150</v>
      </c>
      <c r="BG136" s="9">
        <v>30170</v>
      </c>
      <c r="BH136" s="9">
        <v>29460</v>
      </c>
      <c r="BI136" s="9">
        <v>29160</v>
      </c>
      <c r="BJ136" s="9">
        <v>28630</v>
      </c>
      <c r="BK136" s="9">
        <v>29250</v>
      </c>
      <c r="BL136" s="9">
        <v>28610</v>
      </c>
      <c r="BM136" s="9">
        <v>27400</v>
      </c>
      <c r="BN136" s="9">
        <v>27580</v>
      </c>
      <c r="BO136" s="9">
        <v>28010</v>
      </c>
    </row>
    <row r="137" spans="3:67" x14ac:dyDescent="0.2">
      <c r="C137" s="3">
        <v>65</v>
      </c>
      <c r="E137" s="9">
        <v>8480</v>
      </c>
      <c r="F137" s="9">
        <v>8830</v>
      </c>
      <c r="G137" s="9">
        <v>8200</v>
      </c>
      <c r="H137" s="9">
        <v>9500</v>
      </c>
      <c r="I137" s="9">
        <v>10120</v>
      </c>
      <c r="J137" s="9">
        <v>10910</v>
      </c>
      <c r="K137" s="9">
        <v>13220</v>
      </c>
      <c r="L137" s="9">
        <v>13370</v>
      </c>
      <c r="M137" s="9">
        <v>13840</v>
      </c>
      <c r="N137" s="9">
        <v>14160</v>
      </c>
      <c r="O137" s="9">
        <v>14540</v>
      </c>
      <c r="P137" s="9">
        <v>14960</v>
      </c>
      <c r="Q137" s="9">
        <v>15340</v>
      </c>
      <c r="R137" s="9">
        <v>16080</v>
      </c>
      <c r="S137" s="9">
        <v>16630</v>
      </c>
      <c r="T137" s="9">
        <v>17460</v>
      </c>
      <c r="U137" s="9">
        <v>18120</v>
      </c>
      <c r="V137" s="9">
        <v>18320</v>
      </c>
      <c r="W137" s="9">
        <v>19430</v>
      </c>
      <c r="X137" s="9">
        <v>19860</v>
      </c>
      <c r="Y137" s="9">
        <v>20740</v>
      </c>
      <c r="Z137" s="9">
        <v>21390</v>
      </c>
      <c r="AA137" s="9">
        <v>21380</v>
      </c>
      <c r="AB137" s="9">
        <v>21320</v>
      </c>
      <c r="AC137" s="9">
        <v>20720</v>
      </c>
      <c r="AD137" s="9">
        <v>20570</v>
      </c>
      <c r="AE137" s="9">
        <v>20530</v>
      </c>
      <c r="AF137" s="9">
        <v>20880</v>
      </c>
      <c r="AG137" s="9">
        <v>21220</v>
      </c>
      <c r="AH137" s="9">
        <v>21090</v>
      </c>
      <c r="AI137" s="9">
        <v>21600</v>
      </c>
      <c r="AJ137" s="9">
        <v>21360</v>
      </c>
      <c r="AK137" s="9">
        <v>20630</v>
      </c>
      <c r="AL137" s="9">
        <v>20040</v>
      </c>
      <c r="AM137" s="9">
        <v>19250</v>
      </c>
      <c r="AN137" s="9">
        <v>18650</v>
      </c>
      <c r="AO137" s="9">
        <v>18680</v>
      </c>
      <c r="AP137" s="9">
        <v>18270</v>
      </c>
      <c r="AQ137" s="9">
        <v>18670</v>
      </c>
      <c r="AR137" s="9">
        <v>18990</v>
      </c>
      <c r="AS137" s="9">
        <v>19480</v>
      </c>
      <c r="AT137" s="9">
        <v>19690</v>
      </c>
      <c r="AU137" s="9">
        <v>20390</v>
      </c>
      <c r="AV137" s="9">
        <v>20670</v>
      </c>
      <c r="AW137" s="9">
        <v>21010</v>
      </c>
      <c r="AX137" s="9">
        <v>21750</v>
      </c>
      <c r="AY137" s="9">
        <v>22590</v>
      </c>
      <c r="AZ137" s="9">
        <v>23660</v>
      </c>
      <c r="BA137" s="9">
        <v>24980</v>
      </c>
      <c r="BB137" s="9">
        <v>26210</v>
      </c>
      <c r="BC137" s="9">
        <v>27380</v>
      </c>
      <c r="BD137" s="9">
        <v>27230</v>
      </c>
      <c r="BE137" s="9">
        <v>27440</v>
      </c>
      <c r="BF137" s="9">
        <v>27310</v>
      </c>
      <c r="BG137" s="9">
        <v>27520</v>
      </c>
      <c r="BH137" s="9">
        <v>27540</v>
      </c>
      <c r="BI137" s="9">
        <v>26900</v>
      </c>
      <c r="BJ137" s="9">
        <v>26620</v>
      </c>
      <c r="BK137" s="9">
        <v>26140</v>
      </c>
      <c r="BL137" s="9">
        <v>26710</v>
      </c>
      <c r="BM137" s="9">
        <v>26130</v>
      </c>
      <c r="BN137" s="9">
        <v>25030</v>
      </c>
      <c r="BO137" s="9">
        <v>25190</v>
      </c>
    </row>
    <row r="138" spans="3:67" x14ac:dyDescent="0.2">
      <c r="C138" s="3">
        <v>66</v>
      </c>
      <c r="E138" s="9">
        <v>6670</v>
      </c>
      <c r="F138" s="9">
        <v>7490</v>
      </c>
      <c r="G138" s="9">
        <v>7860</v>
      </c>
      <c r="H138" s="9">
        <v>7350</v>
      </c>
      <c r="I138" s="9">
        <v>8580</v>
      </c>
      <c r="J138" s="9">
        <v>9190</v>
      </c>
      <c r="K138" s="9">
        <v>9950</v>
      </c>
      <c r="L138" s="9">
        <v>12100</v>
      </c>
      <c r="M138" s="9">
        <v>12450</v>
      </c>
      <c r="N138" s="9">
        <v>12810</v>
      </c>
      <c r="O138" s="9">
        <v>13120</v>
      </c>
      <c r="P138" s="9">
        <v>13500</v>
      </c>
      <c r="Q138" s="9">
        <v>13910</v>
      </c>
      <c r="R138" s="9">
        <v>14310</v>
      </c>
      <c r="S138" s="9">
        <v>15030</v>
      </c>
      <c r="T138" s="9">
        <v>15570</v>
      </c>
      <c r="U138" s="9">
        <v>16370</v>
      </c>
      <c r="V138" s="9">
        <v>17020</v>
      </c>
      <c r="W138" s="9">
        <v>17220</v>
      </c>
      <c r="X138" s="9">
        <v>18280</v>
      </c>
      <c r="Y138" s="9">
        <v>18710</v>
      </c>
      <c r="Z138" s="9">
        <v>19550</v>
      </c>
      <c r="AA138" s="9">
        <v>20170</v>
      </c>
      <c r="AB138" s="9">
        <v>20180</v>
      </c>
      <c r="AC138" s="9">
        <v>20130</v>
      </c>
      <c r="AD138" s="9">
        <v>19570</v>
      </c>
      <c r="AE138" s="9">
        <v>19420</v>
      </c>
      <c r="AF138" s="9">
        <v>19380</v>
      </c>
      <c r="AG138" s="9">
        <v>19710</v>
      </c>
      <c r="AH138" s="9">
        <v>20020</v>
      </c>
      <c r="AI138" s="9">
        <v>19890</v>
      </c>
      <c r="AJ138" s="9">
        <v>20360</v>
      </c>
      <c r="AK138" s="9">
        <v>20130</v>
      </c>
      <c r="AL138" s="9">
        <v>19450</v>
      </c>
      <c r="AM138" s="9">
        <v>18900</v>
      </c>
      <c r="AN138" s="9">
        <v>18160</v>
      </c>
      <c r="AO138" s="9">
        <v>17600</v>
      </c>
      <c r="AP138" s="9">
        <v>17630</v>
      </c>
      <c r="AQ138" s="9">
        <v>17250</v>
      </c>
      <c r="AR138" s="9">
        <v>17620</v>
      </c>
      <c r="AS138" s="9">
        <v>17930</v>
      </c>
      <c r="AT138" s="9">
        <v>18390</v>
      </c>
      <c r="AU138" s="9">
        <v>18590</v>
      </c>
      <c r="AV138" s="9">
        <v>19260</v>
      </c>
      <c r="AW138" s="9">
        <v>19520</v>
      </c>
      <c r="AX138" s="9">
        <v>19840</v>
      </c>
      <c r="AY138" s="9">
        <v>20550</v>
      </c>
      <c r="AZ138" s="9">
        <v>21330</v>
      </c>
      <c r="BA138" s="9">
        <v>22340</v>
      </c>
      <c r="BB138" s="9">
        <v>23600</v>
      </c>
      <c r="BC138" s="9">
        <v>24750</v>
      </c>
      <c r="BD138" s="9">
        <v>25860</v>
      </c>
      <c r="BE138" s="9">
        <v>25730</v>
      </c>
      <c r="BF138" s="9">
        <v>25920</v>
      </c>
      <c r="BG138" s="9">
        <v>25810</v>
      </c>
      <c r="BH138" s="9">
        <v>26000</v>
      </c>
      <c r="BI138" s="9">
        <v>26020</v>
      </c>
      <c r="BJ138" s="9">
        <v>25420</v>
      </c>
      <c r="BK138" s="9">
        <v>25160</v>
      </c>
      <c r="BL138" s="9">
        <v>24710</v>
      </c>
      <c r="BM138" s="9">
        <v>25250</v>
      </c>
      <c r="BN138" s="9">
        <v>24700</v>
      </c>
      <c r="BO138" s="9">
        <v>23670</v>
      </c>
    </row>
    <row r="139" spans="3:67" x14ac:dyDescent="0.2">
      <c r="C139" s="3">
        <v>67</v>
      </c>
      <c r="E139" s="9">
        <v>5070</v>
      </c>
      <c r="F139" s="9">
        <v>5950</v>
      </c>
      <c r="G139" s="9">
        <v>6700</v>
      </c>
      <c r="H139" s="9">
        <v>7070</v>
      </c>
      <c r="I139" s="9">
        <v>6630</v>
      </c>
      <c r="J139" s="9">
        <v>7790</v>
      </c>
      <c r="K139" s="9">
        <v>8350</v>
      </c>
      <c r="L139" s="9">
        <v>9070</v>
      </c>
      <c r="M139" s="9">
        <v>11160</v>
      </c>
      <c r="N139" s="9">
        <v>11440</v>
      </c>
      <c r="O139" s="9">
        <v>11770</v>
      </c>
      <c r="P139" s="9">
        <v>12060</v>
      </c>
      <c r="Q139" s="9">
        <v>12430</v>
      </c>
      <c r="R139" s="9">
        <v>12830</v>
      </c>
      <c r="S139" s="9">
        <v>13210</v>
      </c>
      <c r="T139" s="9">
        <v>13890</v>
      </c>
      <c r="U139" s="9">
        <v>14400</v>
      </c>
      <c r="V139" s="9">
        <v>15150</v>
      </c>
      <c r="W139" s="9">
        <v>15760</v>
      </c>
      <c r="X139" s="9">
        <v>15950</v>
      </c>
      <c r="Y139" s="9">
        <v>16940</v>
      </c>
      <c r="Z139" s="9">
        <v>17340</v>
      </c>
      <c r="AA139" s="9">
        <v>18120</v>
      </c>
      <c r="AB139" s="9">
        <v>18700</v>
      </c>
      <c r="AC139" s="9">
        <v>18700</v>
      </c>
      <c r="AD139" s="9">
        <v>18650</v>
      </c>
      <c r="AE139" s="9">
        <v>18130</v>
      </c>
      <c r="AF139" s="9">
        <v>17990</v>
      </c>
      <c r="AG139" s="9">
        <v>17950</v>
      </c>
      <c r="AH139" s="9">
        <v>18240</v>
      </c>
      <c r="AI139" s="9">
        <v>18520</v>
      </c>
      <c r="AJ139" s="9">
        <v>18390</v>
      </c>
      <c r="AK139" s="9">
        <v>18820</v>
      </c>
      <c r="AL139" s="9">
        <v>18620</v>
      </c>
      <c r="AM139" s="9">
        <v>17990</v>
      </c>
      <c r="AN139" s="9">
        <v>17490</v>
      </c>
      <c r="AO139" s="9">
        <v>16800</v>
      </c>
      <c r="AP139" s="9">
        <v>16290</v>
      </c>
      <c r="AQ139" s="9">
        <v>16320</v>
      </c>
      <c r="AR139" s="9">
        <v>15970</v>
      </c>
      <c r="AS139" s="9">
        <v>16320</v>
      </c>
      <c r="AT139" s="9">
        <v>16610</v>
      </c>
      <c r="AU139" s="9">
        <v>17040</v>
      </c>
      <c r="AV139" s="9">
        <v>17220</v>
      </c>
      <c r="AW139" s="9">
        <v>17840</v>
      </c>
      <c r="AX139" s="9">
        <v>18080</v>
      </c>
      <c r="AY139" s="9">
        <v>18380</v>
      </c>
      <c r="AZ139" s="9">
        <v>19040</v>
      </c>
      <c r="BA139" s="9">
        <v>19770</v>
      </c>
      <c r="BB139" s="9">
        <v>20700</v>
      </c>
      <c r="BC139" s="9">
        <v>21870</v>
      </c>
      <c r="BD139" s="9">
        <v>22940</v>
      </c>
      <c r="BE139" s="9">
        <v>23960</v>
      </c>
      <c r="BF139" s="9">
        <v>23840</v>
      </c>
      <c r="BG139" s="9">
        <v>24020</v>
      </c>
      <c r="BH139" s="9">
        <v>23920</v>
      </c>
      <c r="BI139" s="9">
        <v>24110</v>
      </c>
      <c r="BJ139" s="9">
        <v>24130</v>
      </c>
      <c r="BK139" s="9">
        <v>23570</v>
      </c>
      <c r="BL139" s="9">
        <v>23330</v>
      </c>
      <c r="BM139" s="9">
        <v>22920</v>
      </c>
      <c r="BN139" s="9">
        <v>23420</v>
      </c>
      <c r="BO139" s="9">
        <v>22910</v>
      </c>
    </row>
    <row r="140" spans="3:67" x14ac:dyDescent="0.2">
      <c r="C140" s="3">
        <v>68</v>
      </c>
      <c r="E140" s="9">
        <v>4200</v>
      </c>
      <c r="F140" s="9">
        <v>4570</v>
      </c>
      <c r="G140" s="9">
        <v>5370</v>
      </c>
      <c r="H140" s="9">
        <v>6080</v>
      </c>
      <c r="I140" s="9">
        <v>6430</v>
      </c>
      <c r="J140" s="9">
        <v>6040</v>
      </c>
      <c r="K140" s="9">
        <v>7110</v>
      </c>
      <c r="L140" s="9">
        <v>7640</v>
      </c>
      <c r="M140" s="9">
        <v>8360</v>
      </c>
      <c r="N140" s="9">
        <v>10250</v>
      </c>
      <c r="O140" s="9">
        <v>10510</v>
      </c>
      <c r="P140" s="9">
        <v>10810</v>
      </c>
      <c r="Q140" s="9">
        <v>11090</v>
      </c>
      <c r="R140" s="9">
        <v>11430</v>
      </c>
      <c r="S140" s="9">
        <v>11810</v>
      </c>
      <c r="T140" s="9">
        <v>12170</v>
      </c>
      <c r="U140" s="9">
        <v>12800</v>
      </c>
      <c r="V140" s="9">
        <v>13270</v>
      </c>
      <c r="W140" s="9">
        <v>13960</v>
      </c>
      <c r="X140" s="9">
        <v>14530</v>
      </c>
      <c r="Y140" s="9">
        <v>14710</v>
      </c>
      <c r="Z140" s="9">
        <v>15620</v>
      </c>
      <c r="AA140" s="9">
        <v>15980</v>
      </c>
      <c r="AB140" s="9">
        <v>16700</v>
      </c>
      <c r="AC140" s="9">
        <v>17230</v>
      </c>
      <c r="AD140" s="9">
        <v>17230</v>
      </c>
      <c r="AE140" s="9">
        <v>17170</v>
      </c>
      <c r="AF140" s="9">
        <v>16690</v>
      </c>
      <c r="AG140" s="9">
        <v>16550</v>
      </c>
      <c r="AH140" s="9">
        <v>16500</v>
      </c>
      <c r="AI140" s="9">
        <v>16750</v>
      </c>
      <c r="AJ140" s="9">
        <v>17000</v>
      </c>
      <c r="AK140" s="9">
        <v>16880</v>
      </c>
      <c r="AL140" s="9">
        <v>17280</v>
      </c>
      <c r="AM140" s="9">
        <v>17100</v>
      </c>
      <c r="AN140" s="9">
        <v>16530</v>
      </c>
      <c r="AO140" s="9">
        <v>16070</v>
      </c>
      <c r="AP140" s="9">
        <v>15440</v>
      </c>
      <c r="AQ140" s="9">
        <v>14970</v>
      </c>
      <c r="AR140" s="9">
        <v>15010</v>
      </c>
      <c r="AS140" s="9">
        <v>14690</v>
      </c>
      <c r="AT140" s="9">
        <v>15010</v>
      </c>
      <c r="AU140" s="9">
        <v>15280</v>
      </c>
      <c r="AV140" s="9">
        <v>15670</v>
      </c>
      <c r="AW140" s="9">
        <v>15850</v>
      </c>
      <c r="AX140" s="9">
        <v>16410</v>
      </c>
      <c r="AY140" s="9">
        <v>16640</v>
      </c>
      <c r="AZ140" s="9">
        <v>16920</v>
      </c>
      <c r="BA140" s="9">
        <v>17520</v>
      </c>
      <c r="BB140" s="9">
        <v>18190</v>
      </c>
      <c r="BC140" s="9">
        <v>19060</v>
      </c>
      <c r="BD140" s="9">
        <v>20130</v>
      </c>
      <c r="BE140" s="9">
        <v>21120</v>
      </c>
      <c r="BF140" s="9">
        <v>22060</v>
      </c>
      <c r="BG140" s="9">
        <v>21950</v>
      </c>
      <c r="BH140" s="9">
        <v>22120</v>
      </c>
      <c r="BI140" s="9">
        <v>22030</v>
      </c>
      <c r="BJ140" s="9">
        <v>22200</v>
      </c>
      <c r="BK140" s="9">
        <v>22220</v>
      </c>
      <c r="BL140" s="9">
        <v>21710</v>
      </c>
      <c r="BM140" s="9">
        <v>21500</v>
      </c>
      <c r="BN140" s="9">
        <v>21120</v>
      </c>
      <c r="BO140" s="9">
        <v>21580</v>
      </c>
    </row>
    <row r="141" spans="3:67" x14ac:dyDescent="0.2">
      <c r="C141" s="3">
        <v>69</v>
      </c>
      <c r="E141" s="9">
        <v>3430</v>
      </c>
      <c r="F141" s="9">
        <v>3850</v>
      </c>
      <c r="G141" s="9">
        <v>4180</v>
      </c>
      <c r="H141" s="9">
        <v>4920</v>
      </c>
      <c r="I141" s="9">
        <v>5570</v>
      </c>
      <c r="J141" s="9">
        <v>5900</v>
      </c>
      <c r="K141" s="9">
        <v>5550</v>
      </c>
      <c r="L141" s="9">
        <v>6520</v>
      </c>
      <c r="M141" s="9">
        <v>7000</v>
      </c>
      <c r="N141" s="9">
        <v>7690</v>
      </c>
      <c r="O141" s="9">
        <v>9420</v>
      </c>
      <c r="P141" s="9">
        <v>9650</v>
      </c>
      <c r="Q141" s="9">
        <v>9930</v>
      </c>
      <c r="R141" s="9">
        <v>10180</v>
      </c>
      <c r="S141" s="9">
        <v>10500</v>
      </c>
      <c r="T141" s="9">
        <v>10840</v>
      </c>
      <c r="U141" s="9">
        <v>11160</v>
      </c>
      <c r="V141" s="9">
        <v>11740</v>
      </c>
      <c r="W141" s="9">
        <v>12170</v>
      </c>
      <c r="X141" s="9">
        <v>12800</v>
      </c>
      <c r="Y141" s="9">
        <v>13310</v>
      </c>
      <c r="Z141" s="9">
        <v>13480</v>
      </c>
      <c r="AA141" s="9">
        <v>14310</v>
      </c>
      <c r="AB141" s="9">
        <v>14630</v>
      </c>
      <c r="AC141" s="9">
        <v>15280</v>
      </c>
      <c r="AD141" s="9">
        <v>15750</v>
      </c>
      <c r="AE141" s="9">
        <v>15740</v>
      </c>
      <c r="AF141" s="9">
        <v>15680</v>
      </c>
      <c r="AG141" s="9">
        <v>15230</v>
      </c>
      <c r="AH141" s="9">
        <v>15090</v>
      </c>
      <c r="AI141" s="9">
        <v>15030</v>
      </c>
      <c r="AJ141" s="9">
        <v>15250</v>
      </c>
      <c r="AK141" s="9">
        <v>15480</v>
      </c>
      <c r="AL141" s="9">
        <v>15380</v>
      </c>
      <c r="AM141" s="9">
        <v>15750</v>
      </c>
      <c r="AN141" s="9">
        <v>15590</v>
      </c>
      <c r="AO141" s="9">
        <v>15070</v>
      </c>
      <c r="AP141" s="9">
        <v>14650</v>
      </c>
      <c r="AQ141" s="9">
        <v>14090</v>
      </c>
      <c r="AR141" s="9">
        <v>13660</v>
      </c>
      <c r="AS141" s="9">
        <v>13690</v>
      </c>
      <c r="AT141" s="9">
        <v>13400</v>
      </c>
      <c r="AU141" s="9">
        <v>13700</v>
      </c>
      <c r="AV141" s="9">
        <v>13940</v>
      </c>
      <c r="AW141" s="9">
        <v>14310</v>
      </c>
      <c r="AX141" s="9">
        <v>14470</v>
      </c>
      <c r="AY141" s="9">
        <v>14990</v>
      </c>
      <c r="AZ141" s="9">
        <v>15200</v>
      </c>
      <c r="BA141" s="9">
        <v>15450</v>
      </c>
      <c r="BB141" s="9">
        <v>16010</v>
      </c>
      <c r="BC141" s="9">
        <v>16620</v>
      </c>
      <c r="BD141" s="9">
        <v>17410</v>
      </c>
      <c r="BE141" s="9">
        <v>18390</v>
      </c>
      <c r="BF141" s="9">
        <v>19290</v>
      </c>
      <c r="BG141" s="9">
        <v>20160</v>
      </c>
      <c r="BH141" s="9">
        <v>20060</v>
      </c>
      <c r="BI141" s="9">
        <v>20220</v>
      </c>
      <c r="BJ141" s="9">
        <v>20140</v>
      </c>
      <c r="BK141" s="9">
        <v>20300</v>
      </c>
      <c r="BL141" s="9">
        <v>20320</v>
      </c>
      <c r="BM141" s="9">
        <v>19850</v>
      </c>
      <c r="BN141" s="9">
        <v>19660</v>
      </c>
      <c r="BO141" s="9">
        <v>19310</v>
      </c>
    </row>
    <row r="142" spans="3:67" x14ac:dyDescent="0.2">
      <c r="C142" s="3">
        <v>70</v>
      </c>
      <c r="E142" s="9">
        <v>2370</v>
      </c>
      <c r="F142" s="9">
        <v>2660</v>
      </c>
      <c r="G142" s="9">
        <v>2960</v>
      </c>
      <c r="H142" s="9">
        <v>3200</v>
      </c>
      <c r="I142" s="9">
        <v>3750</v>
      </c>
      <c r="J142" s="9">
        <v>4220</v>
      </c>
      <c r="K142" s="9">
        <v>4450</v>
      </c>
      <c r="L142" s="9">
        <v>4170</v>
      </c>
      <c r="M142" s="9">
        <v>4890</v>
      </c>
      <c r="N142" s="9">
        <v>5240</v>
      </c>
      <c r="O142" s="9">
        <v>5740</v>
      </c>
      <c r="P142" s="9">
        <v>7010</v>
      </c>
      <c r="Q142" s="9">
        <v>7170</v>
      </c>
      <c r="R142" s="9">
        <v>7370</v>
      </c>
      <c r="S142" s="9">
        <v>7550</v>
      </c>
      <c r="T142" s="9">
        <v>7780</v>
      </c>
      <c r="U142" s="9">
        <v>8030</v>
      </c>
      <c r="V142" s="9">
        <v>8270</v>
      </c>
      <c r="W142" s="9">
        <v>8700</v>
      </c>
      <c r="X142" s="9">
        <v>9030</v>
      </c>
      <c r="Y142" s="9">
        <v>9500</v>
      </c>
      <c r="Z142" s="9">
        <v>9900</v>
      </c>
      <c r="AA142" s="9">
        <v>10040</v>
      </c>
      <c r="AB142" s="9">
        <v>10680</v>
      </c>
      <c r="AC142" s="9">
        <v>10950</v>
      </c>
      <c r="AD142" s="9">
        <v>11470</v>
      </c>
      <c r="AE142" s="9">
        <v>11870</v>
      </c>
      <c r="AF142" s="9">
        <v>11910</v>
      </c>
      <c r="AG142" s="9">
        <v>11920</v>
      </c>
      <c r="AH142" s="9">
        <v>11630</v>
      </c>
      <c r="AI142" s="9">
        <v>11590</v>
      </c>
      <c r="AJ142" s="9">
        <v>11610</v>
      </c>
      <c r="AK142" s="9">
        <v>11860</v>
      </c>
      <c r="AL142" s="9">
        <v>12110</v>
      </c>
      <c r="AM142" s="9">
        <v>12090</v>
      </c>
      <c r="AN142" s="9">
        <v>12440</v>
      </c>
      <c r="AO142" s="9">
        <v>12360</v>
      </c>
      <c r="AP142" s="9">
        <v>12000</v>
      </c>
      <c r="AQ142" s="9">
        <v>11710</v>
      </c>
      <c r="AR142" s="9">
        <v>11290</v>
      </c>
      <c r="AS142" s="9">
        <v>10980</v>
      </c>
      <c r="AT142" s="9">
        <v>11040</v>
      </c>
      <c r="AU142" s="9">
        <v>10820</v>
      </c>
      <c r="AV142" s="9">
        <v>11080</v>
      </c>
      <c r="AW142" s="9">
        <v>11300</v>
      </c>
      <c r="AX142" s="9">
        <v>11610</v>
      </c>
      <c r="AY142" s="9">
        <v>11750</v>
      </c>
      <c r="AZ142" s="9">
        <v>12190</v>
      </c>
      <c r="BA142" s="9">
        <v>12360</v>
      </c>
      <c r="BB142" s="9">
        <v>12580</v>
      </c>
      <c r="BC142" s="9">
        <v>13030</v>
      </c>
      <c r="BD142" s="9">
        <v>13540</v>
      </c>
      <c r="BE142" s="9">
        <v>14190</v>
      </c>
      <c r="BF142" s="9">
        <v>14990</v>
      </c>
      <c r="BG142" s="9">
        <v>15720</v>
      </c>
      <c r="BH142" s="9">
        <v>16430</v>
      </c>
      <c r="BI142" s="9">
        <v>16360</v>
      </c>
      <c r="BJ142" s="9">
        <v>16480</v>
      </c>
      <c r="BK142" s="9">
        <v>16420</v>
      </c>
      <c r="BL142" s="9">
        <v>16550</v>
      </c>
      <c r="BM142" s="9">
        <v>16570</v>
      </c>
      <c r="BN142" s="9">
        <v>16190</v>
      </c>
      <c r="BO142" s="9">
        <v>16040</v>
      </c>
    </row>
    <row r="143" spans="3:67" x14ac:dyDescent="0.2">
      <c r="C143" s="3">
        <v>71</v>
      </c>
      <c r="E143" s="9">
        <v>2080</v>
      </c>
      <c r="F143" s="9">
        <v>2270</v>
      </c>
      <c r="G143" s="9">
        <v>2540</v>
      </c>
      <c r="H143" s="9">
        <v>2820</v>
      </c>
      <c r="I143" s="9">
        <v>3060</v>
      </c>
      <c r="J143" s="9">
        <v>3560</v>
      </c>
      <c r="K143" s="9">
        <v>4010</v>
      </c>
      <c r="L143" s="9">
        <v>4220</v>
      </c>
      <c r="M143" s="9">
        <v>3940</v>
      </c>
      <c r="N143" s="9">
        <v>4640</v>
      </c>
      <c r="O143" s="9">
        <v>4960</v>
      </c>
      <c r="P143" s="9">
        <v>5410</v>
      </c>
      <c r="Q143" s="9">
        <v>6600</v>
      </c>
      <c r="R143" s="9">
        <v>6750</v>
      </c>
      <c r="S143" s="9">
        <v>6930</v>
      </c>
      <c r="T143" s="9">
        <v>7100</v>
      </c>
      <c r="U143" s="9">
        <v>7310</v>
      </c>
      <c r="V143" s="9">
        <v>7540</v>
      </c>
      <c r="W143" s="9">
        <v>7760</v>
      </c>
      <c r="X143" s="9">
        <v>8160</v>
      </c>
      <c r="Y143" s="9">
        <v>8470</v>
      </c>
      <c r="Z143" s="9">
        <v>8910</v>
      </c>
      <c r="AA143" s="9">
        <v>9280</v>
      </c>
      <c r="AB143" s="9">
        <v>9400</v>
      </c>
      <c r="AC143" s="9">
        <v>10000</v>
      </c>
      <c r="AD143" s="9">
        <v>10250</v>
      </c>
      <c r="AE143" s="9">
        <v>10740</v>
      </c>
      <c r="AF143" s="9">
        <v>11110</v>
      </c>
      <c r="AG143" s="9">
        <v>11140</v>
      </c>
      <c r="AH143" s="9">
        <v>11150</v>
      </c>
      <c r="AI143" s="9">
        <v>10880</v>
      </c>
      <c r="AJ143" s="9">
        <v>10840</v>
      </c>
      <c r="AK143" s="9">
        <v>10860</v>
      </c>
      <c r="AL143" s="9">
        <v>11090</v>
      </c>
      <c r="AM143" s="9">
        <v>11320</v>
      </c>
      <c r="AN143" s="9">
        <v>11300</v>
      </c>
      <c r="AO143" s="9">
        <v>11620</v>
      </c>
      <c r="AP143" s="9">
        <v>11550</v>
      </c>
      <c r="AQ143" s="9">
        <v>11210</v>
      </c>
      <c r="AR143" s="9">
        <v>10940</v>
      </c>
      <c r="AS143" s="9">
        <v>10550</v>
      </c>
      <c r="AT143" s="9">
        <v>10260</v>
      </c>
      <c r="AU143" s="9">
        <v>10310</v>
      </c>
      <c r="AV143" s="9">
        <v>10110</v>
      </c>
      <c r="AW143" s="9">
        <v>10350</v>
      </c>
      <c r="AX143" s="9">
        <v>10550</v>
      </c>
      <c r="AY143" s="9">
        <v>10840</v>
      </c>
      <c r="AZ143" s="9">
        <v>10980</v>
      </c>
      <c r="BA143" s="9">
        <v>11380</v>
      </c>
      <c r="BB143" s="9">
        <v>11550</v>
      </c>
      <c r="BC143" s="9">
        <v>11750</v>
      </c>
      <c r="BD143" s="9">
        <v>12180</v>
      </c>
      <c r="BE143" s="9">
        <v>12650</v>
      </c>
      <c r="BF143" s="9">
        <v>13250</v>
      </c>
      <c r="BG143" s="9">
        <v>14000</v>
      </c>
      <c r="BH143" s="9">
        <v>14690</v>
      </c>
      <c r="BI143" s="9">
        <v>15360</v>
      </c>
      <c r="BJ143" s="9">
        <v>15280</v>
      </c>
      <c r="BK143" s="9">
        <v>15410</v>
      </c>
      <c r="BL143" s="9">
        <v>15350</v>
      </c>
      <c r="BM143" s="9">
        <v>15470</v>
      </c>
      <c r="BN143" s="9">
        <v>15490</v>
      </c>
      <c r="BO143" s="9">
        <v>15140</v>
      </c>
    </row>
    <row r="144" spans="3:67" x14ac:dyDescent="0.2">
      <c r="C144" s="3">
        <v>72</v>
      </c>
      <c r="E144" s="9">
        <v>1790</v>
      </c>
      <c r="F144" s="9">
        <v>1990</v>
      </c>
      <c r="G144" s="9">
        <v>2170</v>
      </c>
      <c r="H144" s="9">
        <v>2410</v>
      </c>
      <c r="I144" s="9">
        <v>2680</v>
      </c>
      <c r="J144" s="9">
        <v>2890</v>
      </c>
      <c r="K144" s="9">
        <v>3360</v>
      </c>
      <c r="L144" s="9">
        <v>3780</v>
      </c>
      <c r="M144" s="9">
        <v>3980</v>
      </c>
      <c r="N144" s="9">
        <v>3720</v>
      </c>
      <c r="O144" s="9">
        <v>4360</v>
      </c>
      <c r="P144" s="9">
        <v>4650</v>
      </c>
      <c r="Q144" s="9">
        <v>5080</v>
      </c>
      <c r="R144" s="9">
        <v>6190</v>
      </c>
      <c r="S144" s="9">
        <v>6320</v>
      </c>
      <c r="T144" s="9">
        <v>6490</v>
      </c>
      <c r="U144" s="9">
        <v>6640</v>
      </c>
      <c r="V144" s="9">
        <v>6830</v>
      </c>
      <c r="W144" s="9">
        <v>7050</v>
      </c>
      <c r="X144" s="9">
        <v>7260</v>
      </c>
      <c r="Y144" s="9">
        <v>7630</v>
      </c>
      <c r="Z144" s="9">
        <v>7910</v>
      </c>
      <c r="AA144" s="9">
        <v>8320</v>
      </c>
      <c r="AB144" s="9">
        <v>8660</v>
      </c>
      <c r="AC144" s="9">
        <v>8780</v>
      </c>
      <c r="AD144" s="9">
        <v>9330</v>
      </c>
      <c r="AE144" s="9">
        <v>9570</v>
      </c>
      <c r="AF144" s="9">
        <v>10010</v>
      </c>
      <c r="AG144" s="9">
        <v>10360</v>
      </c>
      <c r="AH144" s="9">
        <v>10390</v>
      </c>
      <c r="AI144" s="9">
        <v>10390</v>
      </c>
      <c r="AJ144" s="9">
        <v>10140</v>
      </c>
      <c r="AK144" s="9">
        <v>10100</v>
      </c>
      <c r="AL144" s="9">
        <v>10120</v>
      </c>
      <c r="AM144" s="9">
        <v>10330</v>
      </c>
      <c r="AN144" s="9">
        <v>10540</v>
      </c>
      <c r="AO144" s="9">
        <v>10530</v>
      </c>
      <c r="AP144" s="9">
        <v>10830</v>
      </c>
      <c r="AQ144" s="9">
        <v>10760</v>
      </c>
      <c r="AR144" s="9">
        <v>10440</v>
      </c>
      <c r="AS144" s="9">
        <v>10190</v>
      </c>
      <c r="AT144" s="9">
        <v>9830</v>
      </c>
      <c r="AU144" s="9">
        <v>9550</v>
      </c>
      <c r="AV144" s="9">
        <v>9600</v>
      </c>
      <c r="AW144" s="9">
        <v>9420</v>
      </c>
      <c r="AX144" s="9">
        <v>9640</v>
      </c>
      <c r="AY144" s="9">
        <v>9830</v>
      </c>
      <c r="AZ144" s="9">
        <v>10100</v>
      </c>
      <c r="BA144" s="9">
        <v>10220</v>
      </c>
      <c r="BB144" s="9">
        <v>10600</v>
      </c>
      <c r="BC144" s="9">
        <v>10760</v>
      </c>
      <c r="BD144" s="9">
        <v>10950</v>
      </c>
      <c r="BE144" s="9">
        <v>11340</v>
      </c>
      <c r="BF144" s="9">
        <v>11780</v>
      </c>
      <c r="BG144" s="9">
        <v>12350</v>
      </c>
      <c r="BH144" s="9">
        <v>13050</v>
      </c>
      <c r="BI144" s="9">
        <v>13690</v>
      </c>
      <c r="BJ144" s="9">
        <v>14310</v>
      </c>
      <c r="BK144" s="9">
        <v>14250</v>
      </c>
      <c r="BL144" s="9">
        <v>14360</v>
      </c>
      <c r="BM144" s="9">
        <v>14310</v>
      </c>
      <c r="BN144" s="9">
        <v>14430</v>
      </c>
      <c r="BO144" s="9">
        <v>14450</v>
      </c>
    </row>
    <row r="145" spans="3:67" x14ac:dyDescent="0.2">
      <c r="C145" s="3">
        <v>73</v>
      </c>
      <c r="E145" s="9">
        <v>1540</v>
      </c>
      <c r="F145" s="9">
        <v>1700</v>
      </c>
      <c r="G145" s="9">
        <v>1890</v>
      </c>
      <c r="H145" s="9">
        <v>2040</v>
      </c>
      <c r="I145" s="9">
        <v>2280</v>
      </c>
      <c r="J145" s="9">
        <v>2520</v>
      </c>
      <c r="K145" s="9">
        <v>2710</v>
      </c>
      <c r="L145" s="9">
        <v>3150</v>
      </c>
      <c r="M145" s="9">
        <v>3490</v>
      </c>
      <c r="N145" s="9">
        <v>3730</v>
      </c>
      <c r="O145" s="9">
        <v>3480</v>
      </c>
      <c r="P145" s="9">
        <v>4070</v>
      </c>
      <c r="Q145" s="9">
        <v>4340</v>
      </c>
      <c r="R145" s="9">
        <v>4740</v>
      </c>
      <c r="S145" s="9">
        <v>5770</v>
      </c>
      <c r="T145" s="9">
        <v>5890</v>
      </c>
      <c r="U145" s="9">
        <v>6040</v>
      </c>
      <c r="V145" s="9">
        <v>6180</v>
      </c>
      <c r="W145" s="9">
        <v>6360</v>
      </c>
      <c r="X145" s="9">
        <v>6560</v>
      </c>
      <c r="Y145" s="9">
        <v>6750</v>
      </c>
      <c r="Z145" s="9">
        <v>7100</v>
      </c>
      <c r="AA145" s="9">
        <v>7360</v>
      </c>
      <c r="AB145" s="9">
        <v>7740</v>
      </c>
      <c r="AC145" s="9">
        <v>8050</v>
      </c>
      <c r="AD145" s="9">
        <v>8160</v>
      </c>
      <c r="AE145" s="9">
        <v>8670</v>
      </c>
      <c r="AF145" s="9">
        <v>8890</v>
      </c>
      <c r="AG145" s="9">
        <v>9310</v>
      </c>
      <c r="AH145" s="9">
        <v>9620</v>
      </c>
      <c r="AI145" s="9">
        <v>9650</v>
      </c>
      <c r="AJ145" s="9">
        <v>9650</v>
      </c>
      <c r="AK145" s="9">
        <v>9420</v>
      </c>
      <c r="AL145" s="9">
        <v>9380</v>
      </c>
      <c r="AM145" s="9">
        <v>9400</v>
      </c>
      <c r="AN145" s="9">
        <v>9590</v>
      </c>
      <c r="AO145" s="9">
        <v>9790</v>
      </c>
      <c r="AP145" s="9">
        <v>9770</v>
      </c>
      <c r="AQ145" s="9">
        <v>10050</v>
      </c>
      <c r="AR145" s="9">
        <v>9990</v>
      </c>
      <c r="AS145" s="9">
        <v>9700</v>
      </c>
      <c r="AT145" s="9">
        <v>9460</v>
      </c>
      <c r="AU145" s="9">
        <v>9120</v>
      </c>
      <c r="AV145" s="9">
        <v>8870</v>
      </c>
      <c r="AW145" s="9">
        <v>8920</v>
      </c>
      <c r="AX145" s="9">
        <v>8740</v>
      </c>
      <c r="AY145" s="9">
        <v>8960</v>
      </c>
      <c r="AZ145" s="9">
        <v>9130</v>
      </c>
      <c r="BA145" s="9">
        <v>9380</v>
      </c>
      <c r="BB145" s="9">
        <v>9500</v>
      </c>
      <c r="BC145" s="9">
        <v>9850</v>
      </c>
      <c r="BD145" s="9">
        <v>9990</v>
      </c>
      <c r="BE145" s="9">
        <v>10170</v>
      </c>
      <c r="BF145" s="9">
        <v>10540</v>
      </c>
      <c r="BG145" s="9">
        <v>10950</v>
      </c>
      <c r="BH145" s="9">
        <v>11480</v>
      </c>
      <c r="BI145" s="9">
        <v>12130</v>
      </c>
      <c r="BJ145" s="9">
        <v>12730</v>
      </c>
      <c r="BK145" s="9">
        <v>13300</v>
      </c>
      <c r="BL145" s="9">
        <v>13250</v>
      </c>
      <c r="BM145" s="9">
        <v>13360</v>
      </c>
      <c r="BN145" s="9">
        <v>13310</v>
      </c>
      <c r="BO145" s="9">
        <v>13420</v>
      </c>
    </row>
    <row r="146" spans="3:67" x14ac:dyDescent="0.2">
      <c r="C146" s="3">
        <v>74</v>
      </c>
      <c r="E146" s="9">
        <v>1370</v>
      </c>
      <c r="F146" s="9">
        <v>1460</v>
      </c>
      <c r="G146" s="9">
        <v>1600</v>
      </c>
      <c r="H146" s="9">
        <v>1780</v>
      </c>
      <c r="I146" s="9">
        <v>1930</v>
      </c>
      <c r="J146" s="9">
        <v>2150</v>
      </c>
      <c r="K146" s="9">
        <v>2360</v>
      </c>
      <c r="L146" s="9">
        <v>2540</v>
      </c>
      <c r="M146" s="9">
        <v>2920</v>
      </c>
      <c r="N146" s="9">
        <v>3270</v>
      </c>
      <c r="O146" s="9">
        <v>3480</v>
      </c>
      <c r="P146" s="9">
        <v>3240</v>
      </c>
      <c r="Q146" s="9">
        <v>3790</v>
      </c>
      <c r="R146" s="9">
        <v>4040</v>
      </c>
      <c r="S146" s="9">
        <v>4410</v>
      </c>
      <c r="T146" s="9">
        <v>5360</v>
      </c>
      <c r="U146" s="9">
        <v>5470</v>
      </c>
      <c r="V146" s="9">
        <v>5610</v>
      </c>
      <c r="W146" s="9">
        <v>5740</v>
      </c>
      <c r="X146" s="9">
        <v>5900</v>
      </c>
      <c r="Y146" s="9">
        <v>6090</v>
      </c>
      <c r="Z146" s="9">
        <v>6260</v>
      </c>
      <c r="AA146" s="9">
        <v>6580</v>
      </c>
      <c r="AB146" s="9">
        <v>6820</v>
      </c>
      <c r="AC146" s="9">
        <v>7170</v>
      </c>
      <c r="AD146" s="9">
        <v>7460</v>
      </c>
      <c r="AE146" s="9">
        <v>7560</v>
      </c>
      <c r="AF146" s="9">
        <v>8030</v>
      </c>
      <c r="AG146" s="9">
        <v>8230</v>
      </c>
      <c r="AH146" s="9">
        <v>8620</v>
      </c>
      <c r="AI146" s="9">
        <v>8910</v>
      </c>
      <c r="AJ146" s="9">
        <v>8930</v>
      </c>
      <c r="AK146" s="9">
        <v>8930</v>
      </c>
      <c r="AL146" s="9">
        <v>8720</v>
      </c>
      <c r="AM146" s="9">
        <v>8680</v>
      </c>
      <c r="AN146" s="9">
        <v>8700</v>
      </c>
      <c r="AO146" s="9">
        <v>8880</v>
      </c>
      <c r="AP146" s="9">
        <v>9060</v>
      </c>
      <c r="AQ146" s="9">
        <v>9050</v>
      </c>
      <c r="AR146" s="9">
        <v>9300</v>
      </c>
      <c r="AS146" s="9">
        <v>9240</v>
      </c>
      <c r="AT146" s="9">
        <v>8970</v>
      </c>
      <c r="AU146" s="9">
        <v>8760</v>
      </c>
      <c r="AV146" s="9">
        <v>8440</v>
      </c>
      <c r="AW146" s="9">
        <v>8210</v>
      </c>
      <c r="AX146" s="9">
        <v>8250</v>
      </c>
      <c r="AY146" s="9">
        <v>8090</v>
      </c>
      <c r="AZ146" s="9">
        <v>8290</v>
      </c>
      <c r="BA146" s="9">
        <v>8450</v>
      </c>
      <c r="BB146" s="9">
        <v>8680</v>
      </c>
      <c r="BC146" s="9">
        <v>8790</v>
      </c>
      <c r="BD146" s="9">
        <v>9120</v>
      </c>
      <c r="BE146" s="9">
        <v>9250</v>
      </c>
      <c r="BF146" s="9">
        <v>9420</v>
      </c>
      <c r="BG146" s="9">
        <v>9760</v>
      </c>
      <c r="BH146" s="9">
        <v>10140</v>
      </c>
      <c r="BI146" s="9">
        <v>10630</v>
      </c>
      <c r="BJ146" s="9">
        <v>11240</v>
      </c>
      <c r="BK146" s="9">
        <v>11790</v>
      </c>
      <c r="BL146" s="9">
        <v>12330</v>
      </c>
      <c r="BM146" s="9">
        <v>12280</v>
      </c>
      <c r="BN146" s="9">
        <v>12390</v>
      </c>
      <c r="BO146" s="9">
        <v>12340</v>
      </c>
    </row>
    <row r="147" spans="3:67" x14ac:dyDescent="0.2">
      <c r="C147" s="3">
        <v>75</v>
      </c>
      <c r="E147" s="9">
        <v>1210</v>
      </c>
      <c r="F147" s="9">
        <v>1300</v>
      </c>
      <c r="G147" s="9">
        <v>1380</v>
      </c>
      <c r="H147" s="9">
        <v>1500</v>
      </c>
      <c r="I147" s="9">
        <v>1660</v>
      </c>
      <c r="J147" s="9">
        <v>1800</v>
      </c>
      <c r="K147" s="9">
        <v>2000</v>
      </c>
      <c r="L147" s="9">
        <v>2200</v>
      </c>
      <c r="M147" s="9">
        <v>2330</v>
      </c>
      <c r="N147" s="9">
        <v>2720</v>
      </c>
      <c r="O147" s="9">
        <v>3030</v>
      </c>
      <c r="P147" s="9">
        <v>3230</v>
      </c>
      <c r="Q147" s="9">
        <v>3010</v>
      </c>
      <c r="R147" s="9">
        <v>3510</v>
      </c>
      <c r="S147" s="9">
        <v>3740</v>
      </c>
      <c r="T147" s="9">
        <v>4080</v>
      </c>
      <c r="U147" s="9">
        <v>4960</v>
      </c>
      <c r="V147" s="9">
        <v>5060</v>
      </c>
      <c r="W147" s="9">
        <v>5180</v>
      </c>
      <c r="X147" s="9">
        <v>5300</v>
      </c>
      <c r="Y147" s="9">
        <v>5450</v>
      </c>
      <c r="Z147" s="9">
        <v>5620</v>
      </c>
      <c r="AA147" s="9">
        <v>5780</v>
      </c>
      <c r="AB147" s="9">
        <v>6070</v>
      </c>
      <c r="AC147" s="9">
        <v>6290</v>
      </c>
      <c r="AD147" s="9">
        <v>6610</v>
      </c>
      <c r="AE147" s="9">
        <v>6880</v>
      </c>
      <c r="AF147" s="9">
        <v>6970</v>
      </c>
      <c r="AG147" s="9">
        <v>7410</v>
      </c>
      <c r="AH147" s="9">
        <v>7590</v>
      </c>
      <c r="AI147" s="9">
        <v>7940</v>
      </c>
      <c r="AJ147" s="9">
        <v>8210</v>
      </c>
      <c r="AK147" s="9">
        <v>8230</v>
      </c>
      <c r="AL147" s="9">
        <v>8240</v>
      </c>
      <c r="AM147" s="9">
        <v>8040</v>
      </c>
      <c r="AN147" s="9">
        <v>8000</v>
      </c>
      <c r="AO147" s="9">
        <v>8020</v>
      </c>
      <c r="AP147" s="9">
        <v>8180</v>
      </c>
      <c r="AQ147" s="9">
        <v>8350</v>
      </c>
      <c r="AR147" s="9">
        <v>8340</v>
      </c>
      <c r="AS147" s="9">
        <v>8580</v>
      </c>
      <c r="AT147" s="9">
        <v>8520</v>
      </c>
      <c r="AU147" s="9">
        <v>8270</v>
      </c>
      <c r="AV147" s="9">
        <v>8070</v>
      </c>
      <c r="AW147" s="9">
        <v>7790</v>
      </c>
      <c r="AX147" s="9">
        <v>7570</v>
      </c>
      <c r="AY147" s="9">
        <v>7610</v>
      </c>
      <c r="AZ147" s="9">
        <v>7460</v>
      </c>
      <c r="BA147" s="9">
        <v>7650</v>
      </c>
      <c r="BB147" s="9">
        <v>7790</v>
      </c>
      <c r="BC147" s="9">
        <v>8010</v>
      </c>
      <c r="BD147" s="9">
        <v>8110</v>
      </c>
      <c r="BE147" s="9">
        <v>8410</v>
      </c>
      <c r="BF147" s="9">
        <v>8540</v>
      </c>
      <c r="BG147" s="9">
        <v>8690</v>
      </c>
      <c r="BH147" s="9">
        <v>9010</v>
      </c>
      <c r="BI147" s="9">
        <v>9370</v>
      </c>
      <c r="BJ147" s="9">
        <v>9820</v>
      </c>
      <c r="BK147" s="9">
        <v>10380</v>
      </c>
      <c r="BL147" s="9">
        <v>10900</v>
      </c>
      <c r="BM147" s="9">
        <v>11400</v>
      </c>
      <c r="BN147" s="9">
        <v>11350</v>
      </c>
      <c r="BO147" s="9">
        <v>11450</v>
      </c>
    </row>
    <row r="148" spans="3:67" x14ac:dyDescent="0.2">
      <c r="C148" s="3">
        <v>76</v>
      </c>
      <c r="E148" s="9">
        <v>1000</v>
      </c>
      <c r="F148" s="9">
        <v>1140</v>
      </c>
      <c r="G148" s="9">
        <v>1210</v>
      </c>
      <c r="H148" s="9">
        <v>1280</v>
      </c>
      <c r="I148" s="9">
        <v>1400</v>
      </c>
      <c r="J148" s="9">
        <v>1550</v>
      </c>
      <c r="K148" s="9">
        <v>1670</v>
      </c>
      <c r="L148" s="9">
        <v>1850</v>
      </c>
      <c r="M148" s="9">
        <v>1990</v>
      </c>
      <c r="N148" s="9">
        <v>2150</v>
      </c>
      <c r="O148" s="9">
        <v>2510</v>
      </c>
      <c r="P148" s="9">
        <v>2800</v>
      </c>
      <c r="Q148" s="9">
        <v>2970</v>
      </c>
      <c r="R148" s="9">
        <v>2770</v>
      </c>
      <c r="S148" s="9">
        <v>3230</v>
      </c>
      <c r="T148" s="9">
        <v>3440</v>
      </c>
      <c r="U148" s="9">
        <v>3750</v>
      </c>
      <c r="V148" s="9">
        <v>4560</v>
      </c>
      <c r="W148" s="9">
        <v>4650</v>
      </c>
      <c r="X148" s="9">
        <v>4760</v>
      </c>
      <c r="Y148" s="9">
        <v>4870</v>
      </c>
      <c r="Z148" s="9">
        <v>5010</v>
      </c>
      <c r="AA148" s="9">
        <v>5160</v>
      </c>
      <c r="AB148" s="9">
        <v>5310</v>
      </c>
      <c r="AC148" s="9">
        <v>5570</v>
      </c>
      <c r="AD148" s="9">
        <v>5770</v>
      </c>
      <c r="AE148" s="9">
        <v>6070</v>
      </c>
      <c r="AF148" s="9">
        <v>6310</v>
      </c>
      <c r="AG148" s="9">
        <v>6400</v>
      </c>
      <c r="AH148" s="9">
        <v>6800</v>
      </c>
      <c r="AI148" s="9">
        <v>6970</v>
      </c>
      <c r="AJ148" s="9">
        <v>7290</v>
      </c>
      <c r="AK148" s="9">
        <v>7540</v>
      </c>
      <c r="AL148" s="9">
        <v>7560</v>
      </c>
      <c r="AM148" s="9">
        <v>7560</v>
      </c>
      <c r="AN148" s="9">
        <v>7370</v>
      </c>
      <c r="AO148" s="9">
        <v>7350</v>
      </c>
      <c r="AP148" s="9">
        <v>7360</v>
      </c>
      <c r="AQ148" s="9">
        <v>7510</v>
      </c>
      <c r="AR148" s="9">
        <v>7670</v>
      </c>
      <c r="AS148" s="9">
        <v>7650</v>
      </c>
      <c r="AT148" s="9">
        <v>7870</v>
      </c>
      <c r="AU148" s="9">
        <v>7820</v>
      </c>
      <c r="AV148" s="9">
        <v>7600</v>
      </c>
      <c r="AW148" s="9">
        <v>7410</v>
      </c>
      <c r="AX148" s="9">
        <v>7150</v>
      </c>
      <c r="AY148" s="9">
        <v>6950</v>
      </c>
      <c r="AZ148" s="9">
        <v>6990</v>
      </c>
      <c r="BA148" s="9">
        <v>6860</v>
      </c>
      <c r="BB148" s="9">
        <v>7030</v>
      </c>
      <c r="BC148" s="9">
        <v>7160</v>
      </c>
      <c r="BD148" s="9">
        <v>7360</v>
      </c>
      <c r="BE148" s="9">
        <v>7460</v>
      </c>
      <c r="BF148" s="9">
        <v>7730</v>
      </c>
      <c r="BG148" s="9">
        <v>7850</v>
      </c>
      <c r="BH148" s="9">
        <v>8000</v>
      </c>
      <c r="BI148" s="9">
        <v>8290</v>
      </c>
      <c r="BJ148" s="9">
        <v>8620</v>
      </c>
      <c r="BK148" s="9">
        <v>9040</v>
      </c>
      <c r="BL148" s="9">
        <v>9560</v>
      </c>
      <c r="BM148" s="9">
        <v>10030</v>
      </c>
      <c r="BN148" s="9">
        <v>10500</v>
      </c>
      <c r="BO148" s="9">
        <v>10460</v>
      </c>
    </row>
    <row r="149" spans="3:67" x14ac:dyDescent="0.2">
      <c r="C149" s="3">
        <v>77</v>
      </c>
      <c r="E149" s="9">
        <v>830</v>
      </c>
      <c r="F149" s="9">
        <v>940</v>
      </c>
      <c r="G149" s="9">
        <v>1080</v>
      </c>
      <c r="H149" s="9">
        <v>1140</v>
      </c>
      <c r="I149" s="9">
        <v>1200</v>
      </c>
      <c r="J149" s="9">
        <v>1300</v>
      </c>
      <c r="K149" s="9">
        <v>1430</v>
      </c>
      <c r="L149" s="9">
        <v>1550</v>
      </c>
      <c r="M149" s="9">
        <v>1670</v>
      </c>
      <c r="N149" s="9">
        <v>1840</v>
      </c>
      <c r="O149" s="9">
        <v>1990</v>
      </c>
      <c r="P149" s="9">
        <v>2310</v>
      </c>
      <c r="Q149" s="9">
        <v>2570</v>
      </c>
      <c r="R149" s="9">
        <v>2730</v>
      </c>
      <c r="S149" s="9">
        <v>2540</v>
      </c>
      <c r="T149" s="9">
        <v>2960</v>
      </c>
      <c r="U149" s="9">
        <v>3150</v>
      </c>
      <c r="V149" s="9">
        <v>3430</v>
      </c>
      <c r="W149" s="9">
        <v>4170</v>
      </c>
      <c r="X149" s="9">
        <v>4250</v>
      </c>
      <c r="Y149" s="9">
        <v>4360</v>
      </c>
      <c r="Z149" s="9">
        <v>4450</v>
      </c>
      <c r="AA149" s="9">
        <v>4580</v>
      </c>
      <c r="AB149" s="9">
        <v>4720</v>
      </c>
      <c r="AC149" s="9">
        <v>4850</v>
      </c>
      <c r="AD149" s="9">
        <v>5090</v>
      </c>
      <c r="AE149" s="9">
        <v>5280</v>
      </c>
      <c r="AF149" s="9">
        <v>5550</v>
      </c>
      <c r="AG149" s="9">
        <v>5770</v>
      </c>
      <c r="AH149" s="9">
        <v>5840</v>
      </c>
      <c r="AI149" s="9">
        <v>6210</v>
      </c>
      <c r="AJ149" s="9">
        <v>6360</v>
      </c>
      <c r="AK149" s="9">
        <v>6660</v>
      </c>
      <c r="AL149" s="9">
        <v>6880</v>
      </c>
      <c r="AM149" s="9">
        <v>6900</v>
      </c>
      <c r="AN149" s="9">
        <v>6910</v>
      </c>
      <c r="AO149" s="9">
        <v>6740</v>
      </c>
      <c r="AP149" s="9">
        <v>6710</v>
      </c>
      <c r="AQ149" s="9">
        <v>6720</v>
      </c>
      <c r="AR149" s="9">
        <v>6860</v>
      </c>
      <c r="AS149" s="9">
        <v>7010</v>
      </c>
      <c r="AT149" s="9">
        <v>7000</v>
      </c>
      <c r="AU149" s="9">
        <v>7200</v>
      </c>
      <c r="AV149" s="9">
        <v>7150</v>
      </c>
      <c r="AW149" s="9">
        <v>6940</v>
      </c>
      <c r="AX149" s="9">
        <v>6780</v>
      </c>
      <c r="AY149" s="9">
        <v>6540</v>
      </c>
      <c r="AZ149" s="9">
        <v>6360</v>
      </c>
      <c r="BA149" s="9">
        <v>6390</v>
      </c>
      <c r="BB149" s="9">
        <v>6270</v>
      </c>
      <c r="BC149" s="9">
        <v>6430</v>
      </c>
      <c r="BD149" s="9">
        <v>6560</v>
      </c>
      <c r="BE149" s="9">
        <v>6740</v>
      </c>
      <c r="BF149" s="9">
        <v>6830</v>
      </c>
      <c r="BG149" s="9">
        <v>7080</v>
      </c>
      <c r="BH149" s="9">
        <v>7190</v>
      </c>
      <c r="BI149" s="9">
        <v>7330</v>
      </c>
      <c r="BJ149" s="9">
        <v>7600</v>
      </c>
      <c r="BK149" s="9">
        <v>7900</v>
      </c>
      <c r="BL149" s="9">
        <v>8290</v>
      </c>
      <c r="BM149" s="9">
        <v>8760</v>
      </c>
      <c r="BN149" s="9">
        <v>9200</v>
      </c>
      <c r="BO149" s="9">
        <v>9630</v>
      </c>
    </row>
    <row r="150" spans="3:67" x14ac:dyDescent="0.2">
      <c r="C150" s="3">
        <v>78</v>
      </c>
      <c r="E150" s="9">
        <v>700</v>
      </c>
      <c r="F150" s="9">
        <v>780</v>
      </c>
      <c r="G150" s="9">
        <v>880</v>
      </c>
      <c r="H150" s="9">
        <v>1000</v>
      </c>
      <c r="I150" s="9">
        <v>1060</v>
      </c>
      <c r="J150" s="9">
        <v>1100</v>
      </c>
      <c r="K150" s="9">
        <v>1200</v>
      </c>
      <c r="L150" s="9">
        <v>1310</v>
      </c>
      <c r="M150" s="9">
        <v>1380</v>
      </c>
      <c r="N150" s="9">
        <v>1530</v>
      </c>
      <c r="O150" s="9">
        <v>1680</v>
      </c>
      <c r="P150" s="9">
        <v>1810</v>
      </c>
      <c r="Q150" s="9">
        <v>2110</v>
      </c>
      <c r="R150" s="9">
        <v>2340</v>
      </c>
      <c r="S150" s="9">
        <v>2480</v>
      </c>
      <c r="T150" s="9">
        <v>2310</v>
      </c>
      <c r="U150" s="9">
        <v>2690</v>
      </c>
      <c r="V150" s="9">
        <v>2870</v>
      </c>
      <c r="W150" s="9">
        <v>3120</v>
      </c>
      <c r="X150" s="9">
        <v>3790</v>
      </c>
      <c r="Y150" s="9">
        <v>3860</v>
      </c>
      <c r="Z150" s="9">
        <v>3960</v>
      </c>
      <c r="AA150" s="9">
        <v>4050</v>
      </c>
      <c r="AB150" s="9">
        <v>4160</v>
      </c>
      <c r="AC150" s="9">
        <v>4280</v>
      </c>
      <c r="AD150" s="9">
        <v>4400</v>
      </c>
      <c r="AE150" s="9">
        <v>4630</v>
      </c>
      <c r="AF150" s="9">
        <v>4790</v>
      </c>
      <c r="AG150" s="9">
        <v>5040</v>
      </c>
      <c r="AH150" s="9">
        <v>5240</v>
      </c>
      <c r="AI150" s="9">
        <v>5310</v>
      </c>
      <c r="AJ150" s="9">
        <v>5640</v>
      </c>
      <c r="AK150" s="9">
        <v>5780</v>
      </c>
      <c r="AL150" s="9">
        <v>6050</v>
      </c>
      <c r="AM150" s="9">
        <v>6250</v>
      </c>
      <c r="AN150" s="9">
        <v>6270</v>
      </c>
      <c r="AO150" s="9">
        <v>6270</v>
      </c>
      <c r="AP150" s="9">
        <v>6120</v>
      </c>
      <c r="AQ150" s="9">
        <v>6100</v>
      </c>
      <c r="AR150" s="9">
        <v>6110</v>
      </c>
      <c r="AS150" s="9">
        <v>6240</v>
      </c>
      <c r="AT150" s="9">
        <v>6370</v>
      </c>
      <c r="AU150" s="9">
        <v>6360</v>
      </c>
      <c r="AV150" s="9">
        <v>6540</v>
      </c>
      <c r="AW150" s="9">
        <v>6500</v>
      </c>
      <c r="AX150" s="9">
        <v>6320</v>
      </c>
      <c r="AY150" s="9">
        <v>6170</v>
      </c>
      <c r="AZ150" s="9">
        <v>5950</v>
      </c>
      <c r="BA150" s="9">
        <v>5790</v>
      </c>
      <c r="BB150" s="9">
        <v>5820</v>
      </c>
      <c r="BC150" s="9">
        <v>5710</v>
      </c>
      <c r="BD150" s="9">
        <v>5860</v>
      </c>
      <c r="BE150" s="9">
        <v>5970</v>
      </c>
      <c r="BF150" s="9">
        <v>6140</v>
      </c>
      <c r="BG150" s="9">
        <v>6220</v>
      </c>
      <c r="BH150" s="9">
        <v>6460</v>
      </c>
      <c r="BI150" s="9">
        <v>6560</v>
      </c>
      <c r="BJ150" s="9">
        <v>6680</v>
      </c>
      <c r="BK150" s="9">
        <v>6930</v>
      </c>
      <c r="BL150" s="9">
        <v>7210</v>
      </c>
      <c r="BM150" s="9">
        <v>7570</v>
      </c>
      <c r="BN150" s="9">
        <v>8000</v>
      </c>
      <c r="BO150" s="9">
        <v>8410</v>
      </c>
    </row>
    <row r="151" spans="3:67" x14ac:dyDescent="0.2">
      <c r="C151" s="3">
        <v>79</v>
      </c>
      <c r="E151" s="9">
        <v>540</v>
      </c>
      <c r="F151" s="9">
        <v>640</v>
      </c>
      <c r="G151" s="9">
        <v>720</v>
      </c>
      <c r="H151" s="9">
        <v>800</v>
      </c>
      <c r="I151" s="9">
        <v>910</v>
      </c>
      <c r="J151" s="9">
        <v>970</v>
      </c>
      <c r="K151" s="9">
        <v>1000</v>
      </c>
      <c r="L151" s="9">
        <v>1090</v>
      </c>
      <c r="M151" s="9">
        <v>1170</v>
      </c>
      <c r="N151" s="9">
        <v>1250</v>
      </c>
      <c r="O151" s="9">
        <v>1390</v>
      </c>
      <c r="P151" s="9">
        <v>1520</v>
      </c>
      <c r="Q151" s="9">
        <v>1640</v>
      </c>
      <c r="R151" s="9">
        <v>1900</v>
      </c>
      <c r="S151" s="9">
        <v>2110</v>
      </c>
      <c r="T151" s="9">
        <v>2240</v>
      </c>
      <c r="U151" s="9">
        <v>2090</v>
      </c>
      <c r="V151" s="9">
        <v>2430</v>
      </c>
      <c r="W151" s="9">
        <v>2590</v>
      </c>
      <c r="X151" s="9">
        <v>2810</v>
      </c>
      <c r="Y151" s="9">
        <v>3420</v>
      </c>
      <c r="Z151" s="9">
        <v>3480</v>
      </c>
      <c r="AA151" s="9">
        <v>3570</v>
      </c>
      <c r="AB151" s="9">
        <v>3650</v>
      </c>
      <c r="AC151" s="9">
        <v>3750</v>
      </c>
      <c r="AD151" s="9">
        <v>3860</v>
      </c>
      <c r="AE151" s="9">
        <v>3970</v>
      </c>
      <c r="AF151" s="9">
        <v>4170</v>
      </c>
      <c r="AG151" s="9">
        <v>4320</v>
      </c>
      <c r="AH151" s="9">
        <v>4550</v>
      </c>
      <c r="AI151" s="9">
        <v>4730</v>
      </c>
      <c r="AJ151" s="9">
        <v>4790</v>
      </c>
      <c r="AK151" s="9">
        <v>5090</v>
      </c>
      <c r="AL151" s="9">
        <v>5220</v>
      </c>
      <c r="AM151" s="9">
        <v>5460</v>
      </c>
      <c r="AN151" s="9">
        <v>5650</v>
      </c>
      <c r="AO151" s="9">
        <v>5660</v>
      </c>
      <c r="AP151" s="9">
        <v>5670</v>
      </c>
      <c r="AQ151" s="9">
        <v>5530</v>
      </c>
      <c r="AR151" s="9">
        <v>5510</v>
      </c>
      <c r="AS151" s="9">
        <v>5520</v>
      </c>
      <c r="AT151" s="9">
        <v>5640</v>
      </c>
      <c r="AU151" s="9">
        <v>5760</v>
      </c>
      <c r="AV151" s="9">
        <v>5750</v>
      </c>
      <c r="AW151" s="9">
        <v>5920</v>
      </c>
      <c r="AX151" s="9">
        <v>5880</v>
      </c>
      <c r="AY151" s="9">
        <v>5710</v>
      </c>
      <c r="AZ151" s="9">
        <v>5580</v>
      </c>
      <c r="BA151" s="9">
        <v>5390</v>
      </c>
      <c r="BB151" s="9">
        <v>5240</v>
      </c>
      <c r="BC151" s="9">
        <v>5270</v>
      </c>
      <c r="BD151" s="9">
        <v>5180</v>
      </c>
      <c r="BE151" s="9">
        <v>5310</v>
      </c>
      <c r="BF151" s="9">
        <v>5410</v>
      </c>
      <c r="BG151" s="9">
        <v>5570</v>
      </c>
      <c r="BH151" s="9">
        <v>5640</v>
      </c>
      <c r="BI151" s="9">
        <v>5860</v>
      </c>
      <c r="BJ151" s="9">
        <v>5950</v>
      </c>
      <c r="BK151" s="9">
        <v>6070</v>
      </c>
      <c r="BL151" s="9">
        <v>6300</v>
      </c>
      <c r="BM151" s="9">
        <v>6550</v>
      </c>
      <c r="BN151" s="9">
        <v>6870</v>
      </c>
      <c r="BO151" s="9">
        <v>7270</v>
      </c>
    </row>
    <row r="152" spans="3:67" x14ac:dyDescent="0.2">
      <c r="C152" s="3" t="s">
        <v>110</v>
      </c>
      <c r="E152" s="9">
        <v>1500</v>
      </c>
      <c r="F152" s="9">
        <v>1900</v>
      </c>
      <c r="G152" s="9">
        <v>2300</v>
      </c>
      <c r="H152" s="9">
        <v>2720</v>
      </c>
      <c r="I152" s="9">
        <v>3150</v>
      </c>
      <c r="J152" s="9">
        <v>3600</v>
      </c>
      <c r="K152" s="9">
        <v>4020</v>
      </c>
      <c r="L152" s="9">
        <v>4390</v>
      </c>
      <c r="M152" s="9">
        <v>4700</v>
      </c>
      <c r="N152" s="9">
        <v>5100</v>
      </c>
      <c r="O152" s="9">
        <v>5500</v>
      </c>
      <c r="P152" s="9">
        <v>5900</v>
      </c>
      <c r="Q152" s="9">
        <v>6400</v>
      </c>
      <c r="R152" s="9">
        <v>7000</v>
      </c>
      <c r="S152" s="9">
        <v>7600</v>
      </c>
      <c r="T152" s="9">
        <v>8400</v>
      </c>
      <c r="U152" s="9">
        <v>9200</v>
      </c>
      <c r="V152" s="9">
        <v>9700</v>
      </c>
      <c r="W152" s="9">
        <v>10400</v>
      </c>
      <c r="X152" s="9">
        <v>11200</v>
      </c>
      <c r="Y152" s="9">
        <v>12000</v>
      </c>
      <c r="Z152" s="9">
        <v>13300</v>
      </c>
      <c r="AA152" s="9">
        <v>14500</v>
      </c>
      <c r="AB152" s="9">
        <v>15500</v>
      </c>
      <c r="AC152" s="9">
        <v>16500</v>
      </c>
      <c r="AD152" s="9">
        <v>17400</v>
      </c>
      <c r="AE152" s="9">
        <v>18300</v>
      </c>
      <c r="AF152" s="9">
        <v>19100</v>
      </c>
      <c r="AG152" s="9">
        <v>20000</v>
      </c>
      <c r="AH152" s="9">
        <v>20800</v>
      </c>
      <c r="AI152" s="9">
        <v>21700</v>
      </c>
      <c r="AJ152" s="9">
        <v>22700</v>
      </c>
      <c r="AK152" s="9">
        <v>23600</v>
      </c>
      <c r="AL152" s="9">
        <v>24600</v>
      </c>
      <c r="AM152" s="9">
        <v>25500</v>
      </c>
      <c r="AN152" s="9">
        <v>26600</v>
      </c>
      <c r="AO152" s="9">
        <v>27600</v>
      </c>
      <c r="AP152" s="9">
        <v>28500</v>
      </c>
      <c r="AQ152" s="9">
        <v>29300</v>
      </c>
      <c r="AR152" s="9">
        <v>29900</v>
      </c>
      <c r="AS152" s="9">
        <v>30300</v>
      </c>
      <c r="AT152" s="9">
        <v>30700</v>
      </c>
      <c r="AU152" s="9">
        <v>31100</v>
      </c>
      <c r="AV152" s="9">
        <v>31500</v>
      </c>
      <c r="AW152" s="9">
        <v>31900</v>
      </c>
      <c r="AX152" s="9">
        <v>32300</v>
      </c>
      <c r="AY152" s="9">
        <v>32700</v>
      </c>
      <c r="AZ152" s="9">
        <v>32800</v>
      </c>
      <c r="BA152" s="9">
        <v>32900</v>
      </c>
      <c r="BB152" s="9">
        <v>32700</v>
      </c>
      <c r="BC152" s="9">
        <v>32400</v>
      </c>
      <c r="BD152" s="9">
        <v>32200</v>
      </c>
      <c r="BE152" s="9">
        <v>32000</v>
      </c>
      <c r="BF152" s="9">
        <v>31800</v>
      </c>
      <c r="BG152" s="9">
        <v>31900</v>
      </c>
      <c r="BH152" s="9">
        <v>32000</v>
      </c>
      <c r="BI152" s="9">
        <v>32300</v>
      </c>
      <c r="BJ152" s="9">
        <v>32700</v>
      </c>
      <c r="BK152" s="9">
        <v>33200</v>
      </c>
      <c r="BL152" s="9">
        <v>33700</v>
      </c>
      <c r="BM152" s="9">
        <v>34500</v>
      </c>
      <c r="BN152" s="9">
        <v>35300</v>
      </c>
      <c r="BO152" s="9">
        <v>36400</v>
      </c>
    </row>
    <row r="153" spans="3:67" x14ac:dyDescent="0.2">
      <c r="C153" s="2" t="s">
        <v>104</v>
      </c>
      <c r="E153" s="10">
        <f t="shared" ref="E153:AJ153" si="9">SUM(E$87:E$152)</f>
        <v>1201630</v>
      </c>
      <c r="F153" s="10">
        <f t="shared" si="9"/>
        <v>1218620</v>
      </c>
      <c r="G153" s="10">
        <f t="shared" si="9"/>
        <v>1234470</v>
      </c>
      <c r="H153" s="10">
        <f t="shared" si="9"/>
        <v>1244250</v>
      </c>
      <c r="I153" s="10">
        <f t="shared" si="9"/>
        <v>1258120</v>
      </c>
      <c r="J153" s="10">
        <f t="shared" si="9"/>
        <v>1271110</v>
      </c>
      <c r="K153" s="10">
        <f t="shared" si="9"/>
        <v>1283280</v>
      </c>
      <c r="L153" s="10">
        <f t="shared" si="9"/>
        <v>1296400</v>
      </c>
      <c r="M153" s="10">
        <f t="shared" si="9"/>
        <v>1297710</v>
      </c>
      <c r="N153" s="10">
        <f t="shared" si="9"/>
        <v>1331400</v>
      </c>
      <c r="O153" s="10">
        <f t="shared" si="9"/>
        <v>1357310</v>
      </c>
      <c r="P153" s="10">
        <f t="shared" si="9"/>
        <v>1373910</v>
      </c>
      <c r="Q153" s="10">
        <f t="shared" si="9"/>
        <v>1389690</v>
      </c>
      <c r="R153" s="10">
        <f t="shared" si="9"/>
        <v>1404820</v>
      </c>
      <c r="S153" s="10">
        <f t="shared" si="9"/>
        <v>1418950</v>
      </c>
      <c r="T153" s="10">
        <f t="shared" si="9"/>
        <v>1432470</v>
      </c>
      <c r="U153" s="10">
        <f t="shared" si="9"/>
        <v>1445940</v>
      </c>
      <c r="V153" s="10">
        <f t="shared" si="9"/>
        <v>1459430</v>
      </c>
      <c r="W153" s="10">
        <f t="shared" si="9"/>
        <v>1472780</v>
      </c>
      <c r="X153" s="10">
        <f t="shared" si="9"/>
        <v>1486140</v>
      </c>
      <c r="Y153" s="10">
        <f t="shared" si="9"/>
        <v>1499020</v>
      </c>
      <c r="Z153" s="10">
        <f t="shared" si="9"/>
        <v>1511270</v>
      </c>
      <c r="AA153" s="10">
        <f t="shared" si="9"/>
        <v>1522980</v>
      </c>
      <c r="AB153" s="10">
        <f t="shared" si="9"/>
        <v>1533760</v>
      </c>
      <c r="AC153" s="10">
        <f t="shared" si="9"/>
        <v>1543960</v>
      </c>
      <c r="AD153" s="10">
        <f t="shared" si="9"/>
        <v>1553690</v>
      </c>
      <c r="AE153" s="10">
        <f t="shared" si="9"/>
        <v>1563090</v>
      </c>
      <c r="AF153" s="10">
        <f t="shared" si="9"/>
        <v>1572280</v>
      </c>
      <c r="AG153" s="10">
        <f t="shared" si="9"/>
        <v>1581360</v>
      </c>
      <c r="AH153" s="10">
        <f t="shared" si="9"/>
        <v>1590320</v>
      </c>
      <c r="AI153" s="10">
        <f t="shared" si="9"/>
        <v>1599220</v>
      </c>
      <c r="AJ153" s="10">
        <f t="shared" si="9"/>
        <v>1608070</v>
      </c>
      <c r="AK153" s="10">
        <f t="shared" ref="AK153:BO153" si="10">SUM(AK$87:AK$152)</f>
        <v>1616980</v>
      </c>
      <c r="AL153" s="10">
        <f t="shared" si="10"/>
        <v>1625950</v>
      </c>
      <c r="AM153" s="10">
        <f t="shared" si="10"/>
        <v>1634990</v>
      </c>
      <c r="AN153" s="10">
        <f t="shared" si="10"/>
        <v>1644180</v>
      </c>
      <c r="AO153" s="10">
        <f t="shared" si="10"/>
        <v>1653410</v>
      </c>
      <c r="AP153" s="10">
        <f t="shared" si="10"/>
        <v>1662930</v>
      </c>
      <c r="AQ153" s="10">
        <f t="shared" si="10"/>
        <v>1672440</v>
      </c>
      <c r="AR153" s="10">
        <f t="shared" si="10"/>
        <v>1682070</v>
      </c>
      <c r="AS153" s="10">
        <f t="shared" si="10"/>
        <v>1691620</v>
      </c>
      <c r="AT153" s="10">
        <f t="shared" si="10"/>
        <v>1701050</v>
      </c>
      <c r="AU153" s="10">
        <f t="shared" si="10"/>
        <v>1710190</v>
      </c>
      <c r="AV153" s="10">
        <f t="shared" si="10"/>
        <v>1719070</v>
      </c>
      <c r="AW153" s="10">
        <f t="shared" si="10"/>
        <v>1727730</v>
      </c>
      <c r="AX153" s="10">
        <f t="shared" si="10"/>
        <v>1735920</v>
      </c>
      <c r="AY153" s="10">
        <f t="shared" si="10"/>
        <v>1743920</v>
      </c>
      <c r="AZ153" s="10">
        <f t="shared" si="10"/>
        <v>1751380</v>
      </c>
      <c r="BA153" s="10">
        <f t="shared" si="10"/>
        <v>1758540</v>
      </c>
      <c r="BB153" s="10">
        <f t="shared" si="10"/>
        <v>1765140</v>
      </c>
      <c r="BC153" s="10">
        <f t="shared" si="10"/>
        <v>1771300</v>
      </c>
      <c r="BD153" s="10">
        <f t="shared" si="10"/>
        <v>1777060</v>
      </c>
      <c r="BE153" s="10">
        <f t="shared" si="10"/>
        <v>1782370</v>
      </c>
      <c r="BF153" s="10">
        <f t="shared" si="10"/>
        <v>1787120</v>
      </c>
      <c r="BG153" s="10">
        <f t="shared" si="10"/>
        <v>1791730</v>
      </c>
      <c r="BH153" s="10">
        <f t="shared" si="10"/>
        <v>1795850</v>
      </c>
      <c r="BI153" s="10">
        <f t="shared" si="10"/>
        <v>1800020</v>
      </c>
      <c r="BJ153" s="10">
        <f t="shared" si="10"/>
        <v>1803830</v>
      </c>
      <c r="BK153" s="10">
        <f t="shared" si="10"/>
        <v>1807670</v>
      </c>
      <c r="BL153" s="10">
        <f t="shared" si="10"/>
        <v>1811310</v>
      </c>
      <c r="BM153" s="10">
        <f t="shared" si="10"/>
        <v>1815010</v>
      </c>
      <c r="BN153" s="10">
        <f t="shared" si="10"/>
        <v>1818540</v>
      </c>
      <c r="BO153" s="10">
        <f t="shared" si="10"/>
        <v>1822120</v>
      </c>
    </row>
  </sheetData>
  <hyperlinks>
    <hyperlink ref="I4" r:id="rId1"/>
    <hyperlink ref="I2" r:id="rId2"/>
  </hyperlink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C63"/>
  <sheetViews>
    <sheetView zoomScale="90" zoomScaleNormal="90" workbookViewId="0">
      <selection activeCell="R70" sqref="R70"/>
    </sheetView>
  </sheetViews>
  <sheetFormatPr defaultColWidth="8.7109375" defaultRowHeight="12.75" x14ac:dyDescent="0.2"/>
  <cols>
    <col min="1" max="9" width="8.7109375" style="3"/>
    <col min="10" max="10" width="8.7109375" style="3" customWidth="1"/>
    <col min="11" max="16384" width="8.7109375" style="3"/>
  </cols>
  <sheetData>
    <row r="1" spans="1:29" ht="15.75" x14ac:dyDescent="0.25">
      <c r="A1" s="1" t="s">
        <v>123</v>
      </c>
    </row>
    <row r="2" spans="1:29" x14ac:dyDescent="0.2">
      <c r="A2" s="4" t="s">
        <v>124</v>
      </c>
      <c r="J2" s="4"/>
    </row>
    <row r="3" spans="1:29" x14ac:dyDescent="0.2">
      <c r="A3" s="4" t="s">
        <v>125</v>
      </c>
    </row>
    <row r="4" spans="1:29" x14ac:dyDescent="0.2">
      <c r="A4" s="4" t="s">
        <v>1161</v>
      </c>
    </row>
    <row r="5" spans="1:29" x14ac:dyDescent="0.2">
      <c r="A5" s="4" t="s">
        <v>133</v>
      </c>
    </row>
    <row r="6" spans="1:29" x14ac:dyDescent="0.2">
      <c r="A6" s="4"/>
    </row>
    <row r="7" spans="1:29" x14ac:dyDescent="0.2">
      <c r="A7" s="2" t="s">
        <v>100</v>
      </c>
      <c r="E7" s="8" t="s">
        <v>42</v>
      </c>
      <c r="F7" s="8" t="s">
        <v>43</v>
      </c>
      <c r="G7" s="8" t="s">
        <v>44</v>
      </c>
      <c r="H7" s="8" t="s">
        <v>45</v>
      </c>
      <c r="I7" s="8" t="s">
        <v>46</v>
      </c>
      <c r="J7" s="8" t="s">
        <v>47</v>
      </c>
      <c r="K7" s="8" t="s">
        <v>48</v>
      </c>
      <c r="L7" s="8" t="s">
        <v>49</v>
      </c>
      <c r="M7" s="8" t="s">
        <v>50</v>
      </c>
      <c r="N7" s="8" t="s">
        <v>51</v>
      </c>
      <c r="O7" s="8" t="s">
        <v>52</v>
      </c>
      <c r="P7" s="8" t="s">
        <v>53</v>
      </c>
      <c r="Q7" s="8" t="s">
        <v>54</v>
      </c>
      <c r="R7" s="8" t="s">
        <v>55</v>
      </c>
      <c r="S7" s="8" t="s">
        <v>56</v>
      </c>
      <c r="T7" s="8" t="s">
        <v>57</v>
      </c>
      <c r="U7" s="8" t="s">
        <v>58</v>
      </c>
      <c r="V7" s="8" t="s">
        <v>59</v>
      </c>
      <c r="W7" s="8" t="s">
        <v>60</v>
      </c>
      <c r="X7" s="8" t="s">
        <v>61</v>
      </c>
      <c r="Y7" s="8" t="s">
        <v>62</v>
      </c>
      <c r="Z7" s="8" t="s">
        <v>63</v>
      </c>
      <c r="AA7" s="8" t="s">
        <v>64</v>
      </c>
      <c r="AB7" s="8" t="s">
        <v>65</v>
      </c>
      <c r="AC7" s="8" t="s">
        <v>66</v>
      </c>
    </row>
    <row r="8" spans="1:29" x14ac:dyDescent="0.2">
      <c r="E8" s="7">
        <v>2006</v>
      </c>
      <c r="F8" s="7">
        <v>2007</v>
      </c>
      <c r="G8" s="7">
        <v>2008</v>
      </c>
      <c r="H8" s="7">
        <v>2009</v>
      </c>
      <c r="I8" s="7">
        <v>2010</v>
      </c>
      <c r="J8" s="7">
        <v>2011</v>
      </c>
      <c r="K8" s="7">
        <v>2012</v>
      </c>
      <c r="L8" s="7">
        <v>2013</v>
      </c>
      <c r="M8" s="7">
        <v>2014</v>
      </c>
      <c r="N8" s="7">
        <v>2015</v>
      </c>
      <c r="O8" s="7">
        <v>2016</v>
      </c>
      <c r="P8" s="7">
        <v>2017</v>
      </c>
      <c r="Q8" s="7">
        <v>2018</v>
      </c>
      <c r="R8" s="7">
        <v>2019</v>
      </c>
      <c r="S8" s="7">
        <v>2020</v>
      </c>
      <c r="T8" s="7">
        <v>2021</v>
      </c>
      <c r="U8" s="7">
        <v>2022</v>
      </c>
      <c r="V8" s="7">
        <v>2023</v>
      </c>
      <c r="W8" s="7">
        <v>2024</v>
      </c>
      <c r="X8" s="7">
        <v>2025</v>
      </c>
      <c r="Y8" s="7">
        <v>2026</v>
      </c>
      <c r="Z8" s="7">
        <v>2027</v>
      </c>
      <c r="AA8" s="7">
        <v>2028</v>
      </c>
      <c r="AB8" s="7">
        <v>2029</v>
      </c>
      <c r="AC8" s="7">
        <v>2030</v>
      </c>
    </row>
    <row r="9" spans="1:29" x14ac:dyDescent="0.2">
      <c r="F9" s="7"/>
      <c r="G9" s="7"/>
      <c r="H9" s="7"/>
      <c r="I9" s="7"/>
      <c r="J9" s="7"/>
      <c r="K9" s="7"/>
      <c r="L9" s="7"/>
      <c r="M9" s="7"/>
      <c r="N9" s="7"/>
      <c r="O9" s="7"/>
      <c r="P9" s="7"/>
      <c r="Q9" s="7"/>
      <c r="R9" s="7"/>
      <c r="S9" s="7"/>
      <c r="T9" s="7"/>
      <c r="U9" s="7"/>
      <c r="V9" s="7"/>
      <c r="W9" s="7"/>
      <c r="X9" s="7"/>
      <c r="Y9" s="7"/>
      <c r="Z9" s="7"/>
      <c r="AA9" s="7"/>
      <c r="AB9" s="7"/>
    </row>
    <row r="10" spans="1:29" x14ac:dyDescent="0.2">
      <c r="A10" s="2" t="s">
        <v>810</v>
      </c>
      <c r="F10" s="20" t="s">
        <v>126</v>
      </c>
      <c r="G10" s="11"/>
      <c r="H10" s="7"/>
      <c r="I10" s="7"/>
      <c r="J10" s="7"/>
      <c r="K10" s="7"/>
      <c r="L10" s="7"/>
      <c r="M10" s="7"/>
      <c r="N10" s="7"/>
      <c r="O10" s="7"/>
      <c r="P10" s="7"/>
      <c r="Q10" s="7"/>
      <c r="R10" s="7"/>
      <c r="S10" s="7"/>
      <c r="T10" s="7"/>
      <c r="U10" s="7"/>
      <c r="V10" s="7"/>
      <c r="W10" s="7"/>
      <c r="X10" s="7"/>
      <c r="Y10" s="7"/>
      <c r="Z10" s="7"/>
      <c r="AA10" s="7"/>
      <c r="AB10" s="7"/>
    </row>
    <row r="11" spans="1:29" x14ac:dyDescent="0.2">
      <c r="A11" s="3" t="s">
        <v>127</v>
      </c>
      <c r="F11" s="21">
        <v>2.048</v>
      </c>
      <c r="G11" s="21">
        <v>2.1040000000000001</v>
      </c>
      <c r="H11" s="21">
        <v>2.2429999999999999</v>
      </c>
      <c r="I11" s="21">
        <v>0.25</v>
      </c>
      <c r="J11" s="21">
        <v>0</v>
      </c>
      <c r="K11" s="21">
        <v>0</v>
      </c>
      <c r="L11" s="21">
        <v>0</v>
      </c>
      <c r="M11" s="21">
        <v>0</v>
      </c>
      <c r="N11" s="21">
        <v>0</v>
      </c>
      <c r="O11" s="24">
        <v>0</v>
      </c>
      <c r="P11" s="24">
        <v>0</v>
      </c>
      <c r="Q11" s="24">
        <v>0</v>
      </c>
      <c r="R11" s="24">
        <v>0</v>
      </c>
      <c r="S11" s="24">
        <v>0</v>
      </c>
      <c r="T11" s="26">
        <v>0</v>
      </c>
      <c r="U11" s="26">
        <v>0</v>
      </c>
      <c r="V11" s="26">
        <v>2.7480000000000002</v>
      </c>
      <c r="W11" s="26">
        <v>2.5680000000000001</v>
      </c>
      <c r="X11" s="26">
        <v>2.37</v>
      </c>
      <c r="Y11" s="26">
        <v>2.12</v>
      </c>
      <c r="Z11" s="26">
        <v>1.825</v>
      </c>
      <c r="AA11" s="26">
        <v>1.52</v>
      </c>
      <c r="AB11" s="26">
        <v>1.212</v>
      </c>
      <c r="AC11" s="26">
        <v>0.94099999999999995</v>
      </c>
    </row>
    <row r="12" spans="1:29" x14ac:dyDescent="0.2">
      <c r="A12" s="3" t="s">
        <v>128</v>
      </c>
      <c r="C12" s="2"/>
      <c r="F12" s="21">
        <f>0.436+1.313--0.052</f>
        <v>1.8009999999999999</v>
      </c>
      <c r="G12" s="21">
        <f>0.385+-0.995-0.034</f>
        <v>-0.64400000000000002</v>
      </c>
      <c r="H12" s="21">
        <f>0.383+-3.495--0.323</f>
        <v>-2.7890000000000001</v>
      </c>
      <c r="I12" s="21">
        <f>0.433+1.75-0.502</f>
        <v>1.6809999999999998</v>
      </c>
      <c r="J12" s="21">
        <f>0.518+3.518-0.169</f>
        <v>3.8669999999999995</v>
      </c>
      <c r="K12" s="21">
        <f>0.539+-0.204-0.132</f>
        <v>0.20300000000000007</v>
      </c>
      <c r="L12" s="21">
        <f>0.595+4.374-0.165</f>
        <v>4.8039999999999994</v>
      </c>
      <c r="M12" s="21">
        <f>0.767+3.735-0.164</f>
        <v>4.3380000000000001</v>
      </c>
      <c r="N12" s="21">
        <f>0.76+3.156-0.198</f>
        <v>3.7180000000000004</v>
      </c>
      <c r="O12" s="24">
        <v>0.9850000000000001</v>
      </c>
      <c r="P12" s="24">
        <v>2.629</v>
      </c>
      <c r="Q12" s="24">
        <v>2.8039999999999998</v>
      </c>
      <c r="R12" s="24">
        <v>2.996</v>
      </c>
      <c r="S12" s="24">
        <v>3.2029999999999994</v>
      </c>
      <c r="T12" s="26">
        <v>2.8966310999999987</v>
      </c>
      <c r="U12" s="26">
        <v>3.1446929096506526</v>
      </c>
      <c r="V12" s="26">
        <v>3.486551407236234</v>
      </c>
      <c r="W12" s="26">
        <v>3.8990189993327173</v>
      </c>
      <c r="X12" s="26">
        <v>4.3215109512997403</v>
      </c>
      <c r="Y12" s="26">
        <v>4.7519915037128841</v>
      </c>
      <c r="Z12" s="26">
        <v>5.1871886073865667</v>
      </c>
      <c r="AA12" s="26">
        <v>5.6252008439370949</v>
      </c>
      <c r="AB12" s="26">
        <v>6.0656823136881064</v>
      </c>
      <c r="AC12" s="26">
        <v>6.5100151444773697</v>
      </c>
    </row>
    <row r="13" spans="1:29" x14ac:dyDescent="0.2">
      <c r="A13" s="3" t="s">
        <v>129</v>
      </c>
      <c r="F13" s="22">
        <v>0.70699999999999996</v>
      </c>
      <c r="G13" s="22">
        <v>0.23699999999999999</v>
      </c>
      <c r="H13" s="22">
        <v>4.0000000000000001E-3</v>
      </c>
      <c r="I13" s="22">
        <v>-2.7E-2</v>
      </c>
      <c r="J13" s="22">
        <v>0.872</v>
      </c>
      <c r="K13" s="22">
        <v>0.16</v>
      </c>
      <c r="L13" s="22">
        <v>0.98299999999999998</v>
      </c>
      <c r="M13" s="22">
        <v>1.0740000000000001</v>
      </c>
      <c r="N13" s="22">
        <v>4.5999999999999999E-2</v>
      </c>
      <c r="O13" s="24">
        <v>0.22700000000000001</v>
      </c>
      <c r="P13" s="24">
        <v>0.629</v>
      </c>
      <c r="Q13" s="24">
        <v>0.67200000000000004</v>
      </c>
      <c r="R13" s="24">
        <v>0.72</v>
      </c>
      <c r="S13" s="24">
        <v>0.77200000000000002</v>
      </c>
      <c r="T13" s="26">
        <v>0.69519146399999965</v>
      </c>
      <c r="U13" s="26">
        <v>0.75472629831615656</v>
      </c>
      <c r="V13" s="26">
        <v>0.83677233773669613</v>
      </c>
      <c r="W13" s="26">
        <v>0.93576455983985207</v>
      </c>
      <c r="X13" s="26">
        <v>1.0371626283119377</v>
      </c>
      <c r="Y13" s="26">
        <v>1.1404779608910922</v>
      </c>
      <c r="Z13" s="26">
        <v>1.2449252657727761</v>
      </c>
      <c r="AA13" s="26">
        <v>1.3500482025449028</v>
      </c>
      <c r="AB13" s="26">
        <v>1.4557637552851455</v>
      </c>
      <c r="AC13" s="26">
        <v>1.5624036346745687</v>
      </c>
    </row>
    <row r="14" spans="1:29" x14ac:dyDescent="0.2">
      <c r="A14" s="3" t="s">
        <v>130</v>
      </c>
      <c r="F14" s="22">
        <v>-2.4E-2</v>
      </c>
      <c r="G14" s="22">
        <v>1.6E-2</v>
      </c>
      <c r="H14" s="22">
        <v>2.5999999999999999E-2</v>
      </c>
      <c r="I14" s="22">
        <v>0.01</v>
      </c>
      <c r="J14" s="22">
        <v>1E-3</v>
      </c>
      <c r="K14" s="22">
        <v>8.0000000000000002E-3</v>
      </c>
      <c r="L14" s="22">
        <v>2.5000000000000001E-2</v>
      </c>
      <c r="M14" s="22">
        <v>-4.0000000000000001E-3</v>
      </c>
      <c r="N14" s="22">
        <v>4.1000000000000002E-2</v>
      </c>
      <c r="O14" s="24">
        <v>6.5000000000000002E-2</v>
      </c>
      <c r="P14" s="24">
        <v>1.9E-2</v>
      </c>
      <c r="Q14" s="24">
        <v>2.5999999999999999E-2</v>
      </c>
      <c r="R14" s="24">
        <v>3.3000000000000002E-2</v>
      </c>
      <c r="S14" s="24">
        <v>4.1000000000000002E-2</v>
      </c>
      <c r="T14" s="26">
        <v>3.7078325039025903E-2</v>
      </c>
      <c r="U14" s="26">
        <v>4.0253640117289033E-2</v>
      </c>
      <c r="V14" s="26">
        <v>4.4629599655537186E-2</v>
      </c>
      <c r="W14" s="26">
        <v>4.9909390875005129E-2</v>
      </c>
      <c r="X14" s="26">
        <v>5.5317498908301392E-2</v>
      </c>
      <c r="Y14" s="26">
        <v>6.0827865017867078E-2</v>
      </c>
      <c r="Z14" s="26">
        <v>6.6398605339634473E-2</v>
      </c>
      <c r="AA14" s="26">
        <v>7.200538076847357E-2</v>
      </c>
      <c r="AB14" s="26">
        <v>7.7643763615739089E-2</v>
      </c>
      <c r="AC14" s="26">
        <v>8.3331445808171117E-2</v>
      </c>
    </row>
    <row r="15" spans="1:29" x14ac:dyDescent="0.2">
      <c r="A15" s="3" t="s">
        <v>131</v>
      </c>
      <c r="E15" s="23">
        <v>9.8550000000000004</v>
      </c>
      <c r="F15" s="23">
        <v>12.972999999999999</v>
      </c>
      <c r="G15" s="23">
        <v>14.211999999999998</v>
      </c>
      <c r="H15" s="23">
        <v>13.687999999999997</v>
      </c>
      <c r="I15" s="23">
        <v>15.655999999999997</v>
      </c>
      <c r="J15" s="23">
        <v>18.651999999999997</v>
      </c>
      <c r="K15" s="23">
        <v>18.702999999999996</v>
      </c>
      <c r="L15" s="23">
        <v>22.548999999999992</v>
      </c>
      <c r="M15" s="23">
        <v>25.809000000000001</v>
      </c>
      <c r="N15" s="23">
        <v>29.521999999999998</v>
      </c>
      <c r="O15" s="25">
        <v>30.344999999999992</v>
      </c>
      <c r="P15" s="25">
        <v>32.36399999999999</v>
      </c>
      <c r="Q15" s="25">
        <v>34.521999999999991</v>
      </c>
      <c r="R15" s="25">
        <v>36.830999999999989</v>
      </c>
      <c r="S15" s="25">
        <v>39.302999999999983</v>
      </c>
      <c r="T15" s="11">
        <v>41.541517961039006</v>
      </c>
      <c r="U15" s="11">
        <v>43.971738212490791</v>
      </c>
      <c r="V15" s="11">
        <v>49.414146881645863</v>
      </c>
      <c r="W15" s="11">
        <v>54.995310712013733</v>
      </c>
      <c r="X15" s="11">
        <v>60.704976533909836</v>
      </c>
      <c r="Y15" s="11">
        <v>66.4973179417495</v>
      </c>
      <c r="Z15" s="11">
        <v>72.330979888702927</v>
      </c>
      <c r="AA15" s="11">
        <v>78.198137910863593</v>
      </c>
      <c r="AB15" s="11">
        <v>84.097700232882303</v>
      </c>
      <c r="AC15" s="11">
        <v>90.069643188493274</v>
      </c>
    </row>
    <row r="16" spans="1:29" x14ac:dyDescent="0.2">
      <c r="A16" s="4" t="s">
        <v>132</v>
      </c>
      <c r="F16" s="29" t="str">
        <f>IF(ROUND(F$15-SUM(E$15,F$11,F$12,-F$13,F$14),3)=0,"OK","ERROR")</f>
        <v>OK</v>
      </c>
      <c r="G16" s="29" t="str">
        <f t="shared" ref="G16:N16" si="0">IF(ROUND(G$15-SUM(F$15,G$11,G$12,-G$13,G$14),3)=0,"OK","ERROR")</f>
        <v>OK</v>
      </c>
      <c r="H16" s="29" t="str">
        <f t="shared" si="0"/>
        <v>OK</v>
      </c>
      <c r="I16" s="29" t="str">
        <f t="shared" si="0"/>
        <v>OK</v>
      </c>
      <c r="J16" s="29" t="str">
        <f t="shared" si="0"/>
        <v>OK</v>
      </c>
      <c r="K16" s="29" t="str">
        <f t="shared" si="0"/>
        <v>OK</v>
      </c>
      <c r="L16" s="29" t="str">
        <f t="shared" si="0"/>
        <v>OK</v>
      </c>
      <c r="M16" s="29" t="str">
        <f t="shared" si="0"/>
        <v>OK</v>
      </c>
      <c r="N16" s="29" t="str">
        <f t="shared" si="0"/>
        <v>OK</v>
      </c>
      <c r="O16" s="28" t="str">
        <f t="shared" ref="O16:AC16" si="1">IF(ROUND(O$15-SUM(N$15,O$11,O$12,-O$13,O$14),3)=0,"OK","ERROR")</f>
        <v>OK</v>
      </c>
      <c r="P16" s="28" t="str">
        <f t="shared" si="1"/>
        <v>OK</v>
      </c>
      <c r="Q16" s="28" t="str">
        <f t="shared" si="1"/>
        <v>OK</v>
      </c>
      <c r="R16" s="28" t="str">
        <f t="shared" si="1"/>
        <v>OK</v>
      </c>
      <c r="S16" s="28" t="str">
        <f t="shared" si="1"/>
        <v>OK</v>
      </c>
      <c r="T16" s="27" t="str">
        <f t="shared" si="1"/>
        <v>OK</v>
      </c>
      <c r="U16" s="27" t="str">
        <f t="shared" si="1"/>
        <v>OK</v>
      </c>
      <c r="V16" s="27" t="str">
        <f t="shared" si="1"/>
        <v>OK</v>
      </c>
      <c r="W16" s="27" t="str">
        <f t="shared" si="1"/>
        <v>OK</v>
      </c>
      <c r="X16" s="27" t="str">
        <f t="shared" si="1"/>
        <v>OK</v>
      </c>
      <c r="Y16" s="27" t="str">
        <f t="shared" si="1"/>
        <v>OK</v>
      </c>
      <c r="Z16" s="27" t="str">
        <f t="shared" si="1"/>
        <v>OK</v>
      </c>
      <c r="AA16" s="27" t="str">
        <f t="shared" si="1"/>
        <v>OK</v>
      </c>
      <c r="AB16" s="27" t="str">
        <f t="shared" si="1"/>
        <v>OK</v>
      </c>
      <c r="AC16" s="27" t="str">
        <f t="shared" si="1"/>
        <v>OK</v>
      </c>
    </row>
    <row r="18" spans="1:29" x14ac:dyDescent="0.2">
      <c r="A18" s="2" t="s">
        <v>134</v>
      </c>
      <c r="F18" s="20" t="s">
        <v>126</v>
      </c>
    </row>
    <row r="19" spans="1:29" x14ac:dyDescent="0.2">
      <c r="A19" s="3" t="s">
        <v>515</v>
      </c>
      <c r="F19" s="21">
        <v>1.1759999999999999</v>
      </c>
      <c r="G19" s="21">
        <v>1.2010000000000001</v>
      </c>
      <c r="H19" s="21">
        <v>1.35</v>
      </c>
      <c r="I19" s="21">
        <v>1.5249999999999999</v>
      </c>
      <c r="J19" s="21">
        <v>1.5640000000000001</v>
      </c>
      <c r="K19" s="21">
        <v>1.5860000000000001</v>
      </c>
      <c r="L19" s="21">
        <v>1.4810000000000001</v>
      </c>
      <c r="M19" s="21">
        <f>1.512+0.011</f>
        <v>1.5229999999999999</v>
      </c>
      <c r="N19" s="21">
        <f>1.518+0.011</f>
        <v>1.5289999999999999</v>
      </c>
      <c r="O19" s="24">
        <f>1.595+0.011</f>
        <v>1.6059999999999999</v>
      </c>
      <c r="P19" s="24">
        <f>1.629+0.011</f>
        <v>1.64</v>
      </c>
      <c r="Q19" s="24">
        <f>1.641+0.011</f>
        <v>1.6519999999999999</v>
      </c>
      <c r="R19" s="24">
        <f>1.649+0.01</f>
        <v>1.659</v>
      </c>
      <c r="S19" s="24">
        <f>1.691+0.01</f>
        <v>1.7010000000000001</v>
      </c>
      <c r="T19" s="26">
        <v>1.7410000000000001</v>
      </c>
      <c r="U19" s="26">
        <v>1.7910000000000001</v>
      </c>
      <c r="V19" s="26">
        <v>1.8470000000000002</v>
      </c>
      <c r="W19" s="26">
        <v>1.9070000000000003</v>
      </c>
      <c r="X19" s="26">
        <v>1.9680000000000002</v>
      </c>
      <c r="Y19" s="26">
        <v>2.0310000000000001</v>
      </c>
      <c r="Z19" s="26">
        <v>2.0980000000000003</v>
      </c>
      <c r="AA19" s="26">
        <v>2.1670000000000003</v>
      </c>
      <c r="AB19" s="26">
        <v>2.2330000000000001</v>
      </c>
      <c r="AC19" s="26">
        <v>2.2989999999999999</v>
      </c>
    </row>
    <row r="20" spans="1:29" x14ac:dyDescent="0.2">
      <c r="A20" s="3" t="s">
        <v>516</v>
      </c>
      <c r="F20" s="21">
        <v>-0.48799999999999999</v>
      </c>
      <c r="G20" s="21">
        <v>-0.48699999999999999</v>
      </c>
      <c r="H20" s="21">
        <v>-0.53200000000000003</v>
      </c>
      <c r="I20" s="21">
        <v>-0.72799999999999998</v>
      </c>
      <c r="J20" s="21">
        <v>-0.71299999999999997</v>
      </c>
      <c r="K20" s="21">
        <v>-0.70099999999999996</v>
      </c>
      <c r="L20" s="21">
        <v>-0.53600000000000003</v>
      </c>
      <c r="M20" s="21">
        <v>-0.63</v>
      </c>
      <c r="N20" s="21">
        <v>-0.60199999999999998</v>
      </c>
      <c r="O20" s="24">
        <v>-0.67700000000000005</v>
      </c>
      <c r="P20" s="24">
        <v>-0.68500000000000005</v>
      </c>
      <c r="Q20" s="24">
        <v>-0.69</v>
      </c>
      <c r="R20" s="24">
        <v>-0.69299999999999995</v>
      </c>
      <c r="S20" s="24">
        <v>-0.71099999999999997</v>
      </c>
      <c r="T20" s="26">
        <v>-0.71599999999999997</v>
      </c>
      <c r="U20" s="26">
        <v>-0.72799999999999998</v>
      </c>
      <c r="V20" s="26">
        <v>-0.74299999999999999</v>
      </c>
      <c r="W20" s="26">
        <v>-0.75800000000000001</v>
      </c>
      <c r="X20" s="26">
        <v>-0.78300000000000003</v>
      </c>
      <c r="Y20" s="26">
        <v>-0.80400000000000005</v>
      </c>
      <c r="Z20" s="26">
        <v>-0.82900000000000007</v>
      </c>
      <c r="AA20" s="26">
        <v>-0.85400000000000009</v>
      </c>
      <c r="AB20" s="26">
        <v>-0.87600000000000011</v>
      </c>
      <c r="AC20" s="26">
        <v>-0.89900000000000013</v>
      </c>
    </row>
    <row r="21" spans="1:29" x14ac:dyDescent="0.2">
      <c r="A21" s="3" t="s">
        <v>517</v>
      </c>
      <c r="F21" s="21">
        <v>-0.55500000000000005</v>
      </c>
      <c r="G21" s="21">
        <v>-0.629</v>
      </c>
      <c r="H21" s="21">
        <v>-0.71</v>
      </c>
      <c r="I21" s="21">
        <v>-0.754</v>
      </c>
      <c r="J21" s="21">
        <v>-0.80200000000000005</v>
      </c>
      <c r="K21" s="21">
        <v>-0.877</v>
      </c>
      <c r="L21" s="21">
        <v>-1.054</v>
      </c>
      <c r="M21" s="21">
        <v>-1.032</v>
      </c>
      <c r="N21" s="21">
        <v>-1.1140000000000001</v>
      </c>
      <c r="O21" s="24">
        <v>-1.171</v>
      </c>
      <c r="P21" s="24">
        <v>-1.2490000000000001</v>
      </c>
      <c r="Q21" s="24">
        <v>-1.31</v>
      </c>
      <c r="R21" s="24">
        <v>-1.395</v>
      </c>
      <c r="S21" s="24">
        <v>-1.4490000000000001</v>
      </c>
      <c r="T21" s="26">
        <v>-1.4930000000000001</v>
      </c>
      <c r="U21" s="26">
        <v>-1.554</v>
      </c>
      <c r="V21" s="26">
        <v>-1.611</v>
      </c>
      <c r="W21" s="26">
        <v>-1.6639999999999999</v>
      </c>
      <c r="X21" s="26">
        <v>-1.716</v>
      </c>
      <c r="Y21" s="26">
        <v>-1.766</v>
      </c>
      <c r="Z21" s="26">
        <v>-1.8120000000000001</v>
      </c>
      <c r="AA21" s="26">
        <v>-1.8660000000000001</v>
      </c>
      <c r="AB21" s="26">
        <v>-1.9200000000000002</v>
      </c>
      <c r="AC21" s="26">
        <v>-1.9770000000000001</v>
      </c>
    </row>
    <row r="22" spans="1:29" x14ac:dyDescent="0.2">
      <c r="A22" s="3" t="s">
        <v>518</v>
      </c>
      <c r="F22" s="21">
        <v>0.36</v>
      </c>
      <c r="G22" s="21">
        <v>0.40699999999999997</v>
      </c>
      <c r="H22" s="21">
        <v>0.46500000000000002</v>
      </c>
      <c r="I22" s="21">
        <v>0.46300000000000002</v>
      </c>
      <c r="J22" s="21">
        <v>0.48399999999999999</v>
      </c>
      <c r="K22" s="21">
        <v>0.52600000000000002</v>
      </c>
      <c r="L22" s="21">
        <v>0.59</v>
      </c>
      <c r="M22" s="21">
        <v>0.57899999999999996</v>
      </c>
      <c r="N22" s="21">
        <v>0.60399999999999998</v>
      </c>
      <c r="O22" s="24">
        <v>0.59599999999999997</v>
      </c>
      <c r="P22" s="24">
        <v>0.60899999999999999</v>
      </c>
      <c r="Q22" s="24">
        <v>0.622</v>
      </c>
      <c r="R22" s="24">
        <v>0.629</v>
      </c>
      <c r="S22" s="24">
        <v>0.63500000000000001</v>
      </c>
      <c r="T22" s="26">
        <v>0.66</v>
      </c>
      <c r="U22" s="26">
        <v>0.68100000000000005</v>
      </c>
      <c r="V22" s="26">
        <v>0.69300000000000006</v>
      </c>
      <c r="W22" s="26">
        <v>0.70800000000000007</v>
      </c>
      <c r="X22" s="26">
        <v>0.72500000000000009</v>
      </c>
      <c r="Y22" s="26">
        <v>0.7410000000000001</v>
      </c>
      <c r="Z22" s="26">
        <v>0.75700000000000012</v>
      </c>
      <c r="AA22" s="26">
        <v>0.77800000000000014</v>
      </c>
      <c r="AB22" s="26">
        <v>0.79700000000000015</v>
      </c>
      <c r="AC22" s="26">
        <v>0.81900000000000017</v>
      </c>
    </row>
    <row r="23" spans="1:29" x14ac:dyDescent="0.2">
      <c r="A23" s="3" t="s">
        <v>519</v>
      </c>
      <c r="F23" s="21">
        <v>-0.151</v>
      </c>
      <c r="G23" s="21">
        <v>0.23100000000000001</v>
      </c>
      <c r="H23" s="21">
        <v>-0.77900000000000003</v>
      </c>
      <c r="I23" s="21">
        <v>-0.28000000000000003</v>
      </c>
      <c r="J23" s="21">
        <v>0.125</v>
      </c>
      <c r="K23" s="21">
        <v>0.28599999999999998</v>
      </c>
      <c r="L23" s="21">
        <v>-0.48399999999999999</v>
      </c>
      <c r="M23" s="21">
        <v>-1.2E-2</v>
      </c>
      <c r="N23" s="21">
        <v>-0.26900000000000002</v>
      </c>
      <c r="O23" s="24">
        <v>-0.1</v>
      </c>
      <c r="P23" s="24">
        <v>-0.1</v>
      </c>
      <c r="Q23" s="24">
        <v>-0.1</v>
      </c>
      <c r="R23" s="24">
        <v>-0.1</v>
      </c>
      <c r="S23" s="24">
        <v>-0.1</v>
      </c>
      <c r="T23" s="26">
        <v>0</v>
      </c>
      <c r="U23" s="26">
        <v>0</v>
      </c>
      <c r="V23" s="26">
        <v>0</v>
      </c>
      <c r="W23" s="26">
        <v>0</v>
      </c>
      <c r="X23" s="26">
        <v>0</v>
      </c>
      <c r="Y23" s="26">
        <v>0</v>
      </c>
      <c r="Z23" s="26">
        <v>0</v>
      </c>
      <c r="AA23" s="26">
        <v>0</v>
      </c>
      <c r="AB23" s="26">
        <v>0</v>
      </c>
      <c r="AC23" s="26">
        <v>0</v>
      </c>
    </row>
    <row r="24" spans="1:29" x14ac:dyDescent="0.2">
      <c r="A24" s="3" t="s">
        <v>135</v>
      </c>
      <c r="F24" s="21">
        <v>0.1</v>
      </c>
      <c r="G24" s="21">
        <v>7.0000000000000001E-3</v>
      </c>
      <c r="H24" s="21">
        <v>1.7999999999999999E-2</v>
      </c>
      <c r="I24" s="21">
        <v>1.0999999999999999E-2</v>
      </c>
      <c r="J24" s="21">
        <v>1.2E-2</v>
      </c>
      <c r="K24" s="21">
        <v>1.0999999999999999E-2</v>
      </c>
      <c r="L24" s="21">
        <v>0</v>
      </c>
      <c r="M24" s="21">
        <v>0</v>
      </c>
      <c r="N24" s="21">
        <v>0</v>
      </c>
      <c r="O24" s="24">
        <v>0</v>
      </c>
      <c r="P24" s="24">
        <v>0</v>
      </c>
      <c r="Q24" s="24">
        <v>0</v>
      </c>
      <c r="R24" s="24">
        <v>0</v>
      </c>
      <c r="S24" s="24">
        <v>0</v>
      </c>
      <c r="T24" s="26">
        <v>0</v>
      </c>
      <c r="U24" s="26">
        <v>0</v>
      </c>
      <c r="V24" s="26">
        <v>0</v>
      </c>
      <c r="W24" s="26">
        <v>0</v>
      </c>
      <c r="X24" s="26">
        <v>0</v>
      </c>
      <c r="Y24" s="26">
        <v>0</v>
      </c>
      <c r="Z24" s="26">
        <v>0</v>
      </c>
      <c r="AA24" s="26">
        <v>0</v>
      </c>
      <c r="AB24" s="26">
        <v>0</v>
      </c>
      <c r="AC24" s="26">
        <v>0</v>
      </c>
    </row>
    <row r="25" spans="1:29" x14ac:dyDescent="0.2">
      <c r="A25" s="2" t="s">
        <v>520</v>
      </c>
      <c r="E25" s="23">
        <v>5.569</v>
      </c>
      <c r="F25" s="23">
        <v>6.0110000000000001</v>
      </c>
      <c r="G25" s="23">
        <v>6.7409999999999997</v>
      </c>
      <c r="H25" s="23">
        <v>6.552999999999999</v>
      </c>
      <c r="I25" s="23">
        <v>6.79</v>
      </c>
      <c r="J25" s="23">
        <v>7.4599999999999982</v>
      </c>
      <c r="K25" s="23">
        <v>8.2909999999999968</v>
      </c>
      <c r="L25" s="23">
        <v>8.2879999999999967</v>
      </c>
      <c r="M25" s="23">
        <v>8.7159999999999993</v>
      </c>
      <c r="N25" s="23">
        <v>8.8640000000000008</v>
      </c>
      <c r="O25" s="25">
        <v>9.1180000000000003</v>
      </c>
      <c r="P25" s="25">
        <v>9.3330000000000002</v>
      </c>
      <c r="Q25" s="25">
        <v>9.5069999999999997</v>
      </c>
      <c r="R25" s="25">
        <v>9.6069999999999993</v>
      </c>
      <c r="S25" s="25">
        <v>9.6829999999999998</v>
      </c>
      <c r="T25" s="11">
        <v>9.875</v>
      </c>
      <c r="U25" s="11">
        <v>10.065</v>
      </c>
      <c r="V25" s="11">
        <v>10.250999999999999</v>
      </c>
      <c r="W25" s="11">
        <v>10.444000000000001</v>
      </c>
      <c r="X25" s="11">
        <v>10.638</v>
      </c>
      <c r="Y25" s="11">
        <v>10.84</v>
      </c>
      <c r="Z25" s="11">
        <v>11.054</v>
      </c>
      <c r="AA25" s="11">
        <v>11.279</v>
      </c>
      <c r="AB25" s="11">
        <v>11.513</v>
      </c>
      <c r="AC25" s="11">
        <v>11.755000000000001</v>
      </c>
    </row>
    <row r="26" spans="1:29" x14ac:dyDescent="0.2">
      <c r="A26" s="4" t="s">
        <v>1162</v>
      </c>
      <c r="F26" s="29" t="str">
        <f>IF(ROUND(F$25-SUM(E$25,F$19:F$24),3)=0,"OK","ERROR")</f>
        <v>OK</v>
      </c>
      <c r="G26" s="29" t="str">
        <f t="shared" ref="G26:N26" si="2">IF(ROUND(G$25-SUM(F$25,G$19:G$24),3)=0,"OK","ERROR")</f>
        <v>OK</v>
      </c>
      <c r="H26" s="29" t="str">
        <f t="shared" si="2"/>
        <v>OK</v>
      </c>
      <c r="I26" s="29" t="str">
        <f t="shared" si="2"/>
        <v>OK</v>
      </c>
      <c r="J26" s="29" t="str">
        <f t="shared" si="2"/>
        <v>OK</v>
      </c>
      <c r="K26" s="29" t="str">
        <f t="shared" si="2"/>
        <v>OK</v>
      </c>
      <c r="L26" s="29" t="str">
        <f t="shared" si="2"/>
        <v>OK</v>
      </c>
      <c r="M26" s="29" t="str">
        <f t="shared" si="2"/>
        <v>OK</v>
      </c>
      <c r="N26" s="29" t="str">
        <f t="shared" si="2"/>
        <v>OK</v>
      </c>
      <c r="O26" s="28" t="str">
        <f t="shared" ref="O26:AC26" si="3">IF(ROUND(O$25-SUM(N$25,O$19:O$24),3)=0,"OK","ERROR")</f>
        <v>OK</v>
      </c>
      <c r="P26" s="28" t="str">
        <f t="shared" si="3"/>
        <v>OK</v>
      </c>
      <c r="Q26" s="28" t="str">
        <f t="shared" si="3"/>
        <v>OK</v>
      </c>
      <c r="R26" s="28" t="str">
        <f t="shared" si="3"/>
        <v>OK</v>
      </c>
      <c r="S26" s="28" t="str">
        <f t="shared" si="3"/>
        <v>OK</v>
      </c>
      <c r="T26" s="27" t="str">
        <f t="shared" si="3"/>
        <v>OK</v>
      </c>
      <c r="U26" s="27" t="str">
        <f t="shared" si="3"/>
        <v>OK</v>
      </c>
      <c r="V26" s="27" t="str">
        <f t="shared" si="3"/>
        <v>OK</v>
      </c>
      <c r="W26" s="27" t="str">
        <f t="shared" si="3"/>
        <v>OK</v>
      </c>
      <c r="X26" s="27" t="str">
        <f t="shared" si="3"/>
        <v>OK</v>
      </c>
      <c r="Y26" s="27" t="str">
        <f t="shared" si="3"/>
        <v>OK</v>
      </c>
      <c r="Z26" s="27" t="str">
        <f t="shared" si="3"/>
        <v>OK</v>
      </c>
      <c r="AA26" s="27" t="str">
        <f t="shared" si="3"/>
        <v>OK</v>
      </c>
      <c r="AB26" s="27" t="str">
        <f t="shared" si="3"/>
        <v>OK</v>
      </c>
      <c r="AC26" s="27" t="str">
        <f t="shared" si="3"/>
        <v>OK</v>
      </c>
    </row>
    <row r="28" spans="1:29" x14ac:dyDescent="0.2">
      <c r="A28" s="2" t="s">
        <v>136</v>
      </c>
      <c r="I28" s="20" t="s">
        <v>126</v>
      </c>
    </row>
    <row r="29" spans="1:29" x14ac:dyDescent="0.2">
      <c r="A29" s="3" t="s">
        <v>480</v>
      </c>
      <c r="F29" s="21"/>
      <c r="G29" s="21"/>
      <c r="H29" s="21"/>
      <c r="O29" s="24">
        <v>3.8734403041776111</v>
      </c>
      <c r="P29" s="24">
        <v>3.910206006509739</v>
      </c>
      <c r="Q29" s="24">
        <v>4.1755762635296456</v>
      </c>
      <c r="R29" s="24">
        <v>4.4175083068739411</v>
      </c>
      <c r="S29" s="26">
        <v>4.4936212487112179</v>
      </c>
      <c r="T29" s="26">
        <v>5.0468375306744528</v>
      </c>
      <c r="U29" s="26">
        <v>5.1946989261504406</v>
      </c>
      <c r="V29" s="26">
        <v>5.3771748407881681</v>
      </c>
      <c r="W29" s="26">
        <v>5.585024024470111</v>
      </c>
      <c r="X29" s="26">
        <v>5.8017890769285758</v>
      </c>
      <c r="Y29" s="26">
        <v>6.0832745428886916</v>
      </c>
      <c r="Z29" s="26">
        <v>6.2757152871420274</v>
      </c>
      <c r="AA29" s="26">
        <v>6.4914176690770118</v>
      </c>
      <c r="AB29" s="26">
        <v>6.7245276558850868</v>
      </c>
      <c r="AC29" s="26">
        <v>6.9560178690561152</v>
      </c>
    </row>
    <row r="30" spans="1:29" x14ac:dyDescent="0.2">
      <c r="A30" s="3" t="s">
        <v>479</v>
      </c>
      <c r="F30" s="21"/>
      <c r="G30" s="21"/>
      <c r="H30" s="21"/>
      <c r="O30" s="24">
        <v>1.0911766161621212</v>
      </c>
      <c r="P30" s="24">
        <v>1.2050045446867061</v>
      </c>
      <c r="Q30" s="24">
        <v>1.309537588938908</v>
      </c>
      <c r="R30" s="24">
        <v>1.4165126594321282</v>
      </c>
      <c r="S30" s="26">
        <v>1.4165126594321282</v>
      </c>
      <c r="T30" s="26">
        <v>1.8200506205062863</v>
      </c>
      <c r="U30" s="26">
        <v>1.8186788553843682</v>
      </c>
      <c r="V30" s="26">
        <v>1.838998004154573</v>
      </c>
      <c r="W30" s="26">
        <v>1.8887069506653527</v>
      </c>
      <c r="X30" s="26">
        <v>1.9382254926245477</v>
      </c>
      <c r="Y30" s="26">
        <v>2.0461478139751907</v>
      </c>
      <c r="Z30" s="26">
        <v>2.0523469851977887</v>
      </c>
      <c r="AA30" s="26">
        <v>2.0931139614124339</v>
      </c>
      <c r="AB30" s="26">
        <v>2.1343984027545639</v>
      </c>
      <c r="AC30" s="26">
        <v>2.1752445102841209</v>
      </c>
    </row>
    <row r="31" spans="1:29" x14ac:dyDescent="0.2">
      <c r="A31" s="3" t="s">
        <v>137</v>
      </c>
      <c r="O31" s="24">
        <v>3.928072957073439</v>
      </c>
      <c r="P31" s="24">
        <v>4.1714332698286363</v>
      </c>
      <c r="Q31" s="24">
        <v>4.3999853460330591</v>
      </c>
      <c r="R31" s="24">
        <v>4.6421996430643251</v>
      </c>
      <c r="S31" s="26">
        <v>4.8511713144337882</v>
      </c>
      <c r="T31" s="26">
        <v>5.0680093330955964</v>
      </c>
      <c r="U31" s="26">
        <v>5.3045600874412377</v>
      </c>
      <c r="V31" s="26">
        <v>5.5462247147220376</v>
      </c>
      <c r="W31" s="26">
        <v>5.8115178904847342</v>
      </c>
      <c r="X31" s="26">
        <v>6.0544790973547649</v>
      </c>
      <c r="Y31" s="26">
        <v>6.3087279935611367</v>
      </c>
      <c r="Z31" s="26">
        <v>6.5570842829193081</v>
      </c>
      <c r="AA31" s="26">
        <v>6.8129593813090565</v>
      </c>
      <c r="AB31" s="26">
        <v>7.0766804524805718</v>
      </c>
      <c r="AC31" s="26">
        <v>7.3485892678783529</v>
      </c>
    </row>
    <row r="32" spans="1:29" x14ac:dyDescent="0.2">
      <c r="A32" s="3" t="s">
        <v>478</v>
      </c>
      <c r="O32" s="24">
        <v>1.110445858186718</v>
      </c>
      <c r="P32" s="24">
        <v>1.1877393241778593</v>
      </c>
      <c r="Q32" s="24">
        <v>1.2556494190861835</v>
      </c>
      <c r="R32" s="24">
        <v>1.3354183438600151</v>
      </c>
      <c r="S32" s="26">
        <v>1.400077051475983</v>
      </c>
      <c r="T32" s="26">
        <v>1.4691427403627966</v>
      </c>
      <c r="U32" s="26">
        <v>1.5458142780959074</v>
      </c>
      <c r="V32" s="26">
        <v>1.6209674346095473</v>
      </c>
      <c r="W32" s="26">
        <v>1.7114280756645355</v>
      </c>
      <c r="X32" s="26">
        <v>1.7881698063860858</v>
      </c>
      <c r="Y32" s="26">
        <v>1.8709767051703992</v>
      </c>
      <c r="Z32" s="26">
        <v>1.9406853806129563</v>
      </c>
      <c r="AA32" s="26">
        <v>2.0103940560555045</v>
      </c>
      <c r="AB32" s="26">
        <v>2.0801027314980582</v>
      </c>
      <c r="AC32" s="26">
        <v>2.149811406940616</v>
      </c>
    </row>
    <row r="33" spans="1:29" x14ac:dyDescent="0.2">
      <c r="A33" s="3" t="s">
        <v>138</v>
      </c>
      <c r="O33" s="24">
        <v>1.4989541388184615</v>
      </c>
      <c r="P33" s="24">
        <v>1.5711149604916601</v>
      </c>
      <c r="Q33" s="24">
        <v>1.6378855173678601</v>
      </c>
      <c r="R33" s="24">
        <v>1.7086456694384553</v>
      </c>
      <c r="S33" s="26">
        <v>1.780365382622118</v>
      </c>
      <c r="T33" s="26">
        <v>1.8613922077760958</v>
      </c>
      <c r="U33" s="26">
        <v>1.9533236241720935</v>
      </c>
      <c r="V33" s="26">
        <v>2.0462310864710265</v>
      </c>
      <c r="W33" s="26">
        <v>2.1419688274120814</v>
      </c>
      <c r="X33" s="26">
        <v>2.2386050339984438</v>
      </c>
      <c r="Y33" s="26">
        <v>2.3380511006105502</v>
      </c>
      <c r="Z33" s="26">
        <v>2.4428432646674922</v>
      </c>
      <c r="AA33" s="26">
        <v>2.5508987471806788</v>
      </c>
      <c r="AB33" s="26">
        <v>2.6614225709042212</v>
      </c>
      <c r="AC33" s="3">
        <v>2.7753453433143265</v>
      </c>
    </row>
    <row r="34" spans="1:29" x14ac:dyDescent="0.2">
      <c r="A34" s="3" t="s">
        <v>139</v>
      </c>
      <c r="O34" s="24">
        <v>33.274214647141378</v>
      </c>
      <c r="P34" s="24">
        <v>34.584102344314132</v>
      </c>
      <c r="Q34" s="24">
        <v>35.997578779178582</v>
      </c>
      <c r="R34" s="24">
        <v>37.481533112426654</v>
      </c>
      <c r="S34" s="26">
        <v>38.904348429326205</v>
      </c>
      <c r="T34" s="26">
        <v>40.744568834681154</v>
      </c>
      <c r="U34" s="26">
        <v>42.588031297562452</v>
      </c>
      <c r="V34" s="26">
        <v>44.465212510099605</v>
      </c>
      <c r="W34" s="26">
        <v>46.380687471497055</v>
      </c>
      <c r="X34" s="26">
        <v>48.366602485069315</v>
      </c>
      <c r="Y34" s="26">
        <v>50.479200135007432</v>
      </c>
      <c r="Z34" s="26">
        <v>52.640674404897638</v>
      </c>
      <c r="AA34" s="26">
        <v>54.870031441846265</v>
      </c>
      <c r="AB34" s="26">
        <v>57.179301219155015</v>
      </c>
      <c r="AC34" s="3">
        <v>59.562075167647102</v>
      </c>
    </row>
    <row r="35" spans="1:29" x14ac:dyDescent="0.2">
      <c r="A35" s="3" t="s">
        <v>140</v>
      </c>
      <c r="O35" s="24">
        <v>34.799859471064067</v>
      </c>
      <c r="P35" s="24">
        <v>36.278018069792772</v>
      </c>
      <c r="Q35" s="24">
        <v>37.789062317377955</v>
      </c>
      <c r="R35" s="24">
        <v>39.340907877977465</v>
      </c>
      <c r="S35" s="26">
        <v>40.978560290817406</v>
      </c>
      <c r="T35" s="26">
        <v>42.705437591638734</v>
      </c>
      <c r="U35" s="26">
        <v>44.518302012460175</v>
      </c>
      <c r="V35" s="26">
        <v>46.414703067525437</v>
      </c>
      <c r="W35" s="26">
        <v>48.381101897472945</v>
      </c>
      <c r="X35" s="26">
        <v>50.451703031977523</v>
      </c>
      <c r="Y35" s="26">
        <v>52.532167806931042</v>
      </c>
      <c r="Z35" s="26">
        <v>54.683859036343193</v>
      </c>
      <c r="AA35" s="26">
        <v>56.888229651006661</v>
      </c>
      <c r="AB35" s="26">
        <v>59.150360741304148</v>
      </c>
      <c r="AC35" s="3">
        <v>61.495163844094066</v>
      </c>
    </row>
    <row r="37" spans="1:29" x14ac:dyDescent="0.2">
      <c r="A37" s="2" t="s">
        <v>141</v>
      </c>
      <c r="F37" s="20" t="s">
        <v>126</v>
      </c>
    </row>
    <row r="38" spans="1:29" x14ac:dyDescent="0.2">
      <c r="A38" s="3" t="s">
        <v>142</v>
      </c>
      <c r="F38" s="21">
        <v>0</v>
      </c>
      <c r="G38" s="21">
        <v>1.1020000000000001</v>
      </c>
      <c r="H38" s="21">
        <v>1.2809999999999999</v>
      </c>
      <c r="I38" s="21">
        <v>1.024</v>
      </c>
      <c r="J38" s="21">
        <v>1.0409999999999999</v>
      </c>
      <c r="K38" s="21">
        <v>0.68899999999999995</v>
      </c>
      <c r="L38" s="21">
        <v>0.72299999999999998</v>
      </c>
      <c r="M38" s="21">
        <v>0.80400000000000005</v>
      </c>
      <c r="N38" s="21">
        <v>0.85499999999999998</v>
      </c>
      <c r="O38" s="24">
        <v>0.70899999999999996</v>
      </c>
      <c r="P38" s="24">
        <v>0.749</v>
      </c>
      <c r="Q38" s="24">
        <v>0.78300000000000003</v>
      </c>
      <c r="R38" s="24">
        <v>0.81799999999999995</v>
      </c>
      <c r="S38" s="24">
        <v>0.85499999999999998</v>
      </c>
      <c r="T38" s="26">
        <v>0.88800000000000001</v>
      </c>
      <c r="U38" s="26">
        <v>0.92300000000000004</v>
      </c>
    </row>
    <row r="40" spans="1:29" x14ac:dyDescent="0.2">
      <c r="A40" s="2" t="s">
        <v>143</v>
      </c>
      <c r="F40" s="20" t="s">
        <v>126</v>
      </c>
    </row>
    <row r="41" spans="1:29" x14ac:dyDescent="0.2">
      <c r="A41" s="3" t="s">
        <v>144</v>
      </c>
      <c r="F41" s="21">
        <v>0.64500000000000002</v>
      </c>
      <c r="G41" s="21">
        <v>0.69</v>
      </c>
      <c r="H41" s="21">
        <v>0.65500000000000003</v>
      </c>
      <c r="I41" s="21">
        <v>0.33300000000000002</v>
      </c>
      <c r="J41" s="21">
        <v>0.311</v>
      </c>
      <c r="K41" s="21">
        <v>0.19700000000000001</v>
      </c>
      <c r="L41" s="21">
        <v>0.28599999999999998</v>
      </c>
      <c r="M41" s="21">
        <v>0.30099999999999999</v>
      </c>
      <c r="N41" s="21">
        <v>0.36199999999999999</v>
      </c>
      <c r="O41" s="24">
        <v>0.40600000000000003</v>
      </c>
      <c r="P41" s="24">
        <v>0.433</v>
      </c>
      <c r="Q41" s="24">
        <v>0.44800000000000001</v>
      </c>
      <c r="R41" s="24">
        <v>0.45</v>
      </c>
      <c r="S41" s="24">
        <v>0.44</v>
      </c>
      <c r="T41" s="26">
        <v>0.42799999999999999</v>
      </c>
      <c r="U41" s="26">
        <v>0.41299999999999998</v>
      </c>
      <c r="V41" s="26">
        <v>0.40600000000000003</v>
      </c>
      <c r="W41" s="26">
        <v>0.40899999999999997</v>
      </c>
      <c r="X41" s="26">
        <v>0.41099999999999998</v>
      </c>
      <c r="Y41" s="26">
        <v>0.41299999999999998</v>
      </c>
      <c r="Z41" s="26">
        <v>0.41399999999999998</v>
      </c>
      <c r="AA41" s="26">
        <v>0.40899999999999997</v>
      </c>
      <c r="AB41" s="26">
        <v>0.39300000000000002</v>
      </c>
      <c r="AC41" s="26">
        <v>0.378</v>
      </c>
    </row>
    <row r="42" spans="1:29" x14ac:dyDescent="0.2">
      <c r="A42" s="3" t="s">
        <v>139</v>
      </c>
      <c r="F42" s="21">
        <v>4.0069999999999997</v>
      </c>
      <c r="G42" s="21">
        <v>3.5739999999999994</v>
      </c>
      <c r="H42" s="21">
        <v>2.8039999999999998</v>
      </c>
      <c r="I42" s="21">
        <v>2.9449999999999998</v>
      </c>
      <c r="J42" s="21">
        <v>3.1589999999999998</v>
      </c>
      <c r="K42" s="21">
        <v>3.0179999999999998</v>
      </c>
      <c r="L42" s="21">
        <v>3.3819999999999997</v>
      </c>
      <c r="M42" s="21">
        <v>3.1720000000000002</v>
      </c>
      <c r="N42" s="21">
        <v>3.2109999999999999</v>
      </c>
      <c r="O42" s="24">
        <v>3.2450000000000001</v>
      </c>
      <c r="P42" s="24">
        <v>3.2749999999999999</v>
      </c>
      <c r="Q42" s="24">
        <v>3.2650000000000001</v>
      </c>
      <c r="R42" s="24">
        <v>3.246</v>
      </c>
      <c r="S42" s="24">
        <v>3.2149999999999999</v>
      </c>
      <c r="T42" s="26">
        <v>3.1739999999999999</v>
      </c>
      <c r="U42" s="26">
        <v>3.1240000000000001</v>
      </c>
      <c r="V42" s="26">
        <v>3.0649999999999999</v>
      </c>
      <c r="W42" s="26">
        <v>2.9990000000000001</v>
      </c>
      <c r="X42" s="26">
        <v>2.9239999999999999</v>
      </c>
      <c r="Y42" s="26">
        <v>2.843</v>
      </c>
      <c r="Z42" s="26">
        <v>2.7570000000000001</v>
      </c>
      <c r="AA42" s="26">
        <v>2.6659999999999999</v>
      </c>
      <c r="AB42" s="26">
        <v>2.5710000000000002</v>
      </c>
      <c r="AC42" s="26">
        <v>2.4729999999999999</v>
      </c>
    </row>
    <row r="43" spans="1:29" x14ac:dyDescent="0.2">
      <c r="A43" s="3" t="s">
        <v>140</v>
      </c>
      <c r="F43" s="21">
        <v>11.167000000000002</v>
      </c>
      <c r="G43" s="21">
        <v>11.831000000000001</v>
      </c>
      <c r="H43" s="21">
        <v>11.792000000000002</v>
      </c>
      <c r="I43" s="21">
        <v>12.881000000000002</v>
      </c>
      <c r="J43" s="21">
        <v>13.311000000000002</v>
      </c>
      <c r="K43" s="21">
        <v>16.557000000000002</v>
      </c>
      <c r="L43" s="21">
        <v>15.290000000000003</v>
      </c>
      <c r="M43" s="21">
        <v>14.288</v>
      </c>
      <c r="N43" s="21">
        <v>14.006</v>
      </c>
      <c r="O43" s="24">
        <v>13.744999999999999</v>
      </c>
      <c r="P43" s="24">
        <v>13.493</v>
      </c>
      <c r="Q43" s="24">
        <v>13.244999999999999</v>
      </c>
      <c r="R43" s="24">
        <v>12.984999999999999</v>
      </c>
      <c r="S43" s="24">
        <v>12.689</v>
      </c>
      <c r="T43" s="26">
        <v>12.366</v>
      </c>
      <c r="U43" s="26">
        <v>12.019</v>
      </c>
      <c r="V43" s="26">
        <v>11.656000000000001</v>
      </c>
      <c r="W43" s="26">
        <v>11.29</v>
      </c>
      <c r="X43" s="26">
        <v>10.92</v>
      </c>
      <c r="Y43" s="26">
        <v>10.553000000000001</v>
      </c>
      <c r="Z43" s="26">
        <v>10.186999999999999</v>
      </c>
      <c r="AA43" s="26">
        <v>9.8190000000000008</v>
      </c>
      <c r="AB43" s="26">
        <v>9.44</v>
      </c>
      <c r="AC43" s="26">
        <v>9.0530000000000008</v>
      </c>
    </row>
    <row r="44" spans="1:29" x14ac:dyDescent="0.2">
      <c r="F44" s="21"/>
      <c r="G44" s="21"/>
      <c r="H44" s="21"/>
      <c r="I44" s="21"/>
      <c r="J44" s="21"/>
      <c r="K44" s="21"/>
      <c r="L44" s="21"/>
      <c r="M44" s="24"/>
      <c r="N44" s="24"/>
      <c r="O44" s="24"/>
      <c r="P44" s="24"/>
      <c r="Q44" s="24"/>
      <c r="R44" s="26"/>
      <c r="S44" s="26"/>
      <c r="T44" s="26"/>
      <c r="U44" s="26"/>
      <c r="V44" s="26"/>
      <c r="W44" s="26"/>
      <c r="X44" s="26"/>
      <c r="Y44" s="26"/>
      <c r="Z44" s="26"/>
      <c r="AA44" s="26"/>
      <c r="AB44" s="26"/>
    </row>
    <row r="45" spans="1:29" x14ac:dyDescent="0.2">
      <c r="A45" s="2" t="s">
        <v>856</v>
      </c>
      <c r="F45" s="21"/>
      <c r="G45" s="20" t="s">
        <v>126</v>
      </c>
      <c r="H45" s="21"/>
      <c r="I45" s="88" t="s">
        <v>857</v>
      </c>
      <c r="J45" s="21"/>
      <c r="K45" s="21"/>
      <c r="L45" s="21"/>
      <c r="M45" s="24"/>
      <c r="N45" s="24"/>
      <c r="O45" s="24"/>
      <c r="P45" s="24"/>
      <c r="Q45" s="24"/>
      <c r="R45" s="26"/>
      <c r="S45" s="26"/>
      <c r="T45" s="26"/>
      <c r="U45" s="26"/>
      <c r="V45" s="26"/>
      <c r="W45" s="26"/>
      <c r="X45" s="26"/>
      <c r="Y45" s="26"/>
      <c r="Z45" s="26"/>
      <c r="AA45" s="26"/>
      <c r="AB45" s="26"/>
      <c r="AC45" s="26"/>
    </row>
    <row r="46" spans="1:29" x14ac:dyDescent="0.2">
      <c r="A46" s="3" t="s">
        <v>854</v>
      </c>
      <c r="F46" s="21">
        <v>2.4790000000000001</v>
      </c>
      <c r="G46" s="21">
        <v>0.70099999999999996</v>
      </c>
      <c r="H46" s="21">
        <v>1.6539999999999999</v>
      </c>
      <c r="I46" s="21">
        <v>0.59</v>
      </c>
      <c r="J46" s="21">
        <v>1.01</v>
      </c>
      <c r="K46" s="21">
        <v>1.0029999999999999</v>
      </c>
      <c r="L46" s="21">
        <v>0.92500000000000004</v>
      </c>
      <c r="M46" s="21">
        <v>1.069</v>
      </c>
      <c r="N46" s="21">
        <v>0.873</v>
      </c>
      <c r="O46" s="24">
        <v>1.179</v>
      </c>
      <c r="P46" s="24">
        <v>1.232</v>
      </c>
      <c r="Q46" s="24">
        <v>1.2749999999999999</v>
      </c>
      <c r="R46" s="24">
        <v>1.3260000000000001</v>
      </c>
      <c r="S46" s="24">
        <v>1.323</v>
      </c>
      <c r="T46" s="26"/>
      <c r="U46" s="26"/>
      <c r="V46" s="26"/>
      <c r="W46" s="26"/>
      <c r="X46" s="26"/>
      <c r="Y46" s="26"/>
      <c r="Z46" s="26"/>
      <c r="AA46" s="26"/>
      <c r="AB46" s="26"/>
      <c r="AC46" s="26"/>
    </row>
    <row r="48" spans="1:29" x14ac:dyDescent="0.2">
      <c r="A48" s="2" t="s">
        <v>145</v>
      </c>
      <c r="N48" s="2" t="s">
        <v>459</v>
      </c>
    </row>
    <row r="49" spans="1:27" x14ac:dyDescent="0.2">
      <c r="A49" s="3" t="s">
        <v>146</v>
      </c>
      <c r="C49" s="3" t="s">
        <v>147</v>
      </c>
      <c r="F49" s="3" t="s">
        <v>151</v>
      </c>
      <c r="I49" s="3" t="s">
        <v>152</v>
      </c>
      <c r="P49" s="3" t="s">
        <v>461</v>
      </c>
      <c r="R49" s="3" t="s">
        <v>463</v>
      </c>
      <c r="T49" s="3" t="s">
        <v>465</v>
      </c>
      <c r="V49" s="3" t="s">
        <v>466</v>
      </c>
      <c r="X49" s="3" t="s">
        <v>469</v>
      </c>
    </row>
    <row r="50" spans="1:27" x14ac:dyDescent="0.2">
      <c r="B50" s="3" t="s">
        <v>148</v>
      </c>
      <c r="C50" s="3" t="s">
        <v>149</v>
      </c>
      <c r="D50" s="3" t="s">
        <v>150</v>
      </c>
      <c r="F50" s="3" t="s">
        <v>149</v>
      </c>
      <c r="G50" s="3" t="s">
        <v>150</v>
      </c>
      <c r="I50" s="3" t="s">
        <v>149</v>
      </c>
      <c r="J50" s="3" t="s">
        <v>150</v>
      </c>
      <c r="P50" s="3" t="s">
        <v>462</v>
      </c>
      <c r="R50" s="3" t="s">
        <v>464</v>
      </c>
      <c r="T50" s="3" t="s">
        <v>467</v>
      </c>
      <c r="V50" s="3" t="s">
        <v>468</v>
      </c>
      <c r="X50" s="3" t="s">
        <v>470</v>
      </c>
      <c r="Z50" s="3" t="s">
        <v>472</v>
      </c>
    </row>
    <row r="51" spans="1:27" x14ac:dyDescent="0.2">
      <c r="A51" s="3" t="s">
        <v>153</v>
      </c>
      <c r="N51" s="3" t="s">
        <v>460</v>
      </c>
      <c r="P51" s="3" t="s">
        <v>149</v>
      </c>
      <c r="Q51" s="3" t="s">
        <v>150</v>
      </c>
      <c r="R51" s="3" t="s">
        <v>149</v>
      </c>
      <c r="S51" s="3" t="s">
        <v>150</v>
      </c>
      <c r="T51" s="3" t="s">
        <v>149</v>
      </c>
      <c r="U51" s="3" t="s">
        <v>150</v>
      </c>
      <c r="V51" s="3" t="s">
        <v>149</v>
      </c>
      <c r="W51" s="3" t="s">
        <v>150</v>
      </c>
      <c r="X51" s="3" t="s">
        <v>149</v>
      </c>
      <c r="Y51" s="3" t="s">
        <v>150</v>
      </c>
      <c r="Z51" s="3" t="s">
        <v>149</v>
      </c>
      <c r="AA51" s="3" t="s">
        <v>150</v>
      </c>
    </row>
    <row r="52" spans="1:27" x14ac:dyDescent="0.2">
      <c r="A52" s="3" t="s">
        <v>154</v>
      </c>
      <c r="C52" s="30">
        <v>2.7E-2</v>
      </c>
      <c r="D52" s="30">
        <v>2.7E-2</v>
      </c>
      <c r="E52" s="87"/>
      <c r="F52" s="30">
        <v>1.4E-2</v>
      </c>
      <c r="G52" s="30">
        <v>0</v>
      </c>
      <c r="H52" s="87"/>
      <c r="I52" s="30">
        <v>0.01</v>
      </c>
      <c r="J52" s="30">
        <v>1.4999999999999999E-2</v>
      </c>
      <c r="N52" s="64">
        <v>2007</v>
      </c>
      <c r="P52" s="9">
        <v>5358.4792000000007</v>
      </c>
      <c r="Q52" s="9">
        <v>5607.7104000000045</v>
      </c>
      <c r="R52" s="9">
        <v>26441.84860000003</v>
      </c>
      <c r="S52" s="9">
        <v>21212.180800000071</v>
      </c>
      <c r="T52" s="9">
        <v>38159.780900000063</v>
      </c>
      <c r="U52" s="9">
        <v>31181.297700000039</v>
      </c>
      <c r="V52" s="9">
        <v>35937.737800000054</v>
      </c>
      <c r="W52" s="9">
        <v>24176.983499999995</v>
      </c>
      <c r="X52" s="9">
        <v>31524.376599999992</v>
      </c>
      <c r="Y52" s="9">
        <v>17870.815800000044</v>
      </c>
      <c r="Z52" s="9">
        <f>SUM($P52,$R52,$T52,$V52,$X52)</f>
        <v>137422.22310000015</v>
      </c>
      <c r="AA52" s="9">
        <f>SUM($Q52,$S52,$U52,$W52,$Y52)</f>
        <v>100048.98820000014</v>
      </c>
    </row>
    <row r="53" spans="1:27" x14ac:dyDescent="0.2">
      <c r="A53" s="3" t="s">
        <v>155</v>
      </c>
      <c r="C53" s="30">
        <v>6.2E-2</v>
      </c>
      <c r="D53" s="30">
        <v>8.2000000000000003E-2</v>
      </c>
      <c r="E53" s="87"/>
      <c r="F53" s="30">
        <v>0.191</v>
      </c>
      <c r="G53" s="30">
        <v>6.0000000000000001E-3</v>
      </c>
      <c r="H53" s="87"/>
      <c r="I53" s="30">
        <v>2.3E-2</v>
      </c>
      <c r="J53" s="30">
        <v>3.1E-2</v>
      </c>
      <c r="N53" s="64">
        <v>2008</v>
      </c>
      <c r="P53" s="9">
        <v>5016.5679999999957</v>
      </c>
      <c r="Q53" s="9">
        <v>5490.3257999999923</v>
      </c>
      <c r="R53" s="9">
        <v>27360.019099999921</v>
      </c>
      <c r="S53" s="9">
        <v>21772.972599999997</v>
      </c>
      <c r="T53" s="9">
        <v>38894.326399999904</v>
      </c>
      <c r="U53" s="9">
        <v>31864.307400000023</v>
      </c>
      <c r="V53" s="9">
        <v>33890.978799999895</v>
      </c>
      <c r="W53" s="9">
        <v>23349.786700000059</v>
      </c>
      <c r="X53" s="9">
        <v>30701.53719999993</v>
      </c>
      <c r="Y53" s="9">
        <v>16789.789599999931</v>
      </c>
      <c r="Z53" s="9">
        <f t="shared" ref="Z53:Z59" si="4">SUM($P53,$R53,$T53,$V53,$X53)</f>
        <v>135863.42949999965</v>
      </c>
      <c r="AA53" s="9">
        <f t="shared" ref="AA53:AA59" si="5">SUM($Q53,$S53,$U53,$W53,$Y53)</f>
        <v>99267.182100000005</v>
      </c>
    </row>
    <row r="54" spans="1:27" x14ac:dyDescent="0.2">
      <c r="A54" s="3" t="s">
        <v>156</v>
      </c>
      <c r="C54" s="30">
        <v>3.6999999999999998E-2</v>
      </c>
      <c r="D54" s="30">
        <v>6.6000000000000003E-2</v>
      </c>
      <c r="E54" s="87"/>
      <c r="F54" s="30">
        <v>0.224</v>
      </c>
      <c r="G54" s="30">
        <v>1.2999999999999999E-2</v>
      </c>
      <c r="H54" s="87"/>
      <c r="I54" s="30">
        <v>2.5000000000000001E-2</v>
      </c>
      <c r="J54" s="30">
        <v>0.03</v>
      </c>
      <c r="N54" s="64">
        <v>2009</v>
      </c>
      <c r="P54" s="9">
        <v>4884.5699000000004</v>
      </c>
      <c r="Q54" s="9">
        <v>5228.2449999999999</v>
      </c>
      <c r="R54" s="9">
        <v>29644.47100000014</v>
      </c>
      <c r="S54" s="9">
        <v>23837.519899999996</v>
      </c>
      <c r="T54" s="9">
        <v>42434.346199999978</v>
      </c>
      <c r="U54" s="9">
        <v>34586.063200000055</v>
      </c>
      <c r="V54" s="9">
        <v>36144.447800000096</v>
      </c>
      <c r="W54" s="9">
        <v>25049.347900000044</v>
      </c>
      <c r="X54" s="9">
        <v>31586.433799999955</v>
      </c>
      <c r="Y54" s="9">
        <v>17247.428999999978</v>
      </c>
      <c r="Z54" s="9">
        <f t="shared" si="4"/>
        <v>144694.26870000016</v>
      </c>
      <c r="AA54" s="9">
        <f t="shared" si="5"/>
        <v>105948.60500000007</v>
      </c>
    </row>
    <row r="55" spans="1:27" x14ac:dyDescent="0.2">
      <c r="A55" s="3" t="s">
        <v>157</v>
      </c>
      <c r="C55" s="30">
        <v>2.5999999999999999E-2</v>
      </c>
      <c r="D55" s="30">
        <v>5.2999999999999999E-2</v>
      </c>
      <c r="E55" s="87"/>
      <c r="F55" s="30">
        <v>0.16500000000000001</v>
      </c>
      <c r="G55" s="30">
        <v>1.4999999999999999E-2</v>
      </c>
      <c r="H55" s="87"/>
      <c r="I55" s="30">
        <v>2.5000000000000001E-2</v>
      </c>
      <c r="J55" s="30">
        <v>0.03</v>
      </c>
      <c r="N55" s="64">
        <v>2010</v>
      </c>
      <c r="P55" s="9">
        <v>4530.2169000000031</v>
      </c>
      <c r="Q55" s="9">
        <v>5325.5581000000011</v>
      </c>
      <c r="R55" s="9">
        <v>30085.131799999956</v>
      </c>
      <c r="S55" s="9">
        <v>24664.524400000006</v>
      </c>
      <c r="T55" s="9">
        <v>44758.842500000086</v>
      </c>
      <c r="U55" s="9">
        <v>36516.742399999996</v>
      </c>
      <c r="V55" s="9">
        <v>36414.008299999994</v>
      </c>
      <c r="W55" s="9">
        <v>25279.387099999996</v>
      </c>
      <c r="X55" s="9">
        <v>30442.406299999944</v>
      </c>
      <c r="Y55" s="9">
        <v>16515.647799999977</v>
      </c>
      <c r="Z55" s="9">
        <f t="shared" si="4"/>
        <v>146230.60579999999</v>
      </c>
      <c r="AA55" s="9">
        <f t="shared" si="5"/>
        <v>108301.85979999998</v>
      </c>
    </row>
    <row r="56" spans="1:27" x14ac:dyDescent="0.2">
      <c r="A56" s="3" t="s">
        <v>158</v>
      </c>
      <c r="C56" s="30">
        <v>2.8000000000000001E-2</v>
      </c>
      <c r="D56" s="30">
        <v>4.9000000000000002E-2</v>
      </c>
      <c r="E56" s="87"/>
      <c r="F56" s="30">
        <v>0.127</v>
      </c>
      <c r="G56" s="30">
        <v>1.4999999999999999E-2</v>
      </c>
      <c r="H56" s="87"/>
      <c r="I56" s="30">
        <v>0.03</v>
      </c>
      <c r="J56" s="30">
        <v>3.4000000000000002E-2</v>
      </c>
      <c r="N56" s="64">
        <v>2011</v>
      </c>
      <c r="P56" s="9">
        <v>4428.9764000000005</v>
      </c>
      <c r="Q56" s="9">
        <v>5338.2485000000061</v>
      </c>
      <c r="R56" s="9">
        <v>29264.536399999943</v>
      </c>
      <c r="S56" s="9">
        <v>24306.687100000097</v>
      </c>
      <c r="T56" s="9">
        <v>45028.735600000065</v>
      </c>
      <c r="U56" s="9">
        <v>36008.67850000014</v>
      </c>
      <c r="V56" s="9">
        <v>34984.779500000011</v>
      </c>
      <c r="W56" s="9">
        <v>23067.236400000045</v>
      </c>
      <c r="X56" s="9">
        <v>28645.803800000056</v>
      </c>
      <c r="Y56" s="9">
        <v>14513.220399999987</v>
      </c>
      <c r="Z56" s="9">
        <f t="shared" si="4"/>
        <v>142352.83170000007</v>
      </c>
      <c r="AA56" s="9">
        <f t="shared" si="5"/>
        <v>103234.07090000028</v>
      </c>
    </row>
    <row r="57" spans="1:27" x14ac:dyDescent="0.2">
      <c r="A57" s="3" t="s">
        <v>159</v>
      </c>
      <c r="C57" s="30">
        <v>3.7999999999999999E-2</v>
      </c>
      <c r="D57" s="30">
        <v>5.2999999999999999E-2</v>
      </c>
      <c r="E57" s="87"/>
      <c r="F57" s="30">
        <v>0.10100000000000001</v>
      </c>
      <c r="G57" s="30">
        <v>1.4E-2</v>
      </c>
      <c r="H57" s="87"/>
      <c r="I57" s="30">
        <v>4.4999999999999998E-2</v>
      </c>
      <c r="J57" s="30">
        <v>4.7E-2</v>
      </c>
      <c r="N57" s="64">
        <v>2012</v>
      </c>
      <c r="P57" s="9">
        <v>4190.6173999999992</v>
      </c>
      <c r="Q57" s="9">
        <v>5249.8508000000029</v>
      </c>
      <c r="R57" s="9">
        <v>29905.476700000218</v>
      </c>
      <c r="S57" s="9">
        <v>24831.277800000094</v>
      </c>
      <c r="T57" s="9">
        <v>45561.393800000078</v>
      </c>
      <c r="U57" s="9">
        <v>36754.915900000044</v>
      </c>
      <c r="V57" s="9">
        <v>34349.100700000017</v>
      </c>
      <c r="W57" s="9">
        <v>22516.077299999975</v>
      </c>
      <c r="X57" s="9">
        <v>28272.859200000003</v>
      </c>
      <c r="Y57" s="9">
        <v>14066.754899999978</v>
      </c>
      <c r="Z57" s="9">
        <f t="shared" si="4"/>
        <v>142279.44780000031</v>
      </c>
      <c r="AA57" s="9">
        <f t="shared" si="5"/>
        <v>103418.87670000008</v>
      </c>
    </row>
    <row r="58" spans="1:27" x14ac:dyDescent="0.2">
      <c r="A58" s="3" t="s">
        <v>160</v>
      </c>
      <c r="C58" s="30">
        <v>4.7E-2</v>
      </c>
      <c r="D58" s="30">
        <v>5.6000000000000001E-2</v>
      </c>
      <c r="E58" s="87"/>
      <c r="F58" s="30">
        <v>6.0999999999999999E-2</v>
      </c>
      <c r="G58" s="30">
        <v>8.9999999999999993E-3</v>
      </c>
      <c r="H58" s="87"/>
      <c r="I58" s="30">
        <v>0.06</v>
      </c>
      <c r="J58" s="30">
        <v>0.06</v>
      </c>
      <c r="N58" s="64">
        <v>2013</v>
      </c>
      <c r="P58" s="9">
        <v>5584.2678999999953</v>
      </c>
      <c r="Q58" s="9">
        <v>6852.2194</v>
      </c>
      <c r="R58" s="9">
        <v>30421.110099999929</v>
      </c>
      <c r="S58" s="9">
        <v>24768.070500000002</v>
      </c>
      <c r="T58" s="9">
        <v>45011.159200000147</v>
      </c>
      <c r="U58" s="9">
        <v>36539.765600000072</v>
      </c>
      <c r="V58" s="9">
        <v>33203.544400000086</v>
      </c>
      <c r="W58" s="9">
        <v>21738.912000000037</v>
      </c>
      <c r="X58" s="9">
        <v>27310.184199999996</v>
      </c>
      <c r="Y58" s="9">
        <v>13632.516099999997</v>
      </c>
      <c r="Z58" s="9">
        <f t="shared" si="4"/>
        <v>141530.26580000017</v>
      </c>
      <c r="AA58" s="9">
        <f t="shared" si="5"/>
        <v>103531.48360000011</v>
      </c>
    </row>
    <row r="59" spans="1:27" x14ac:dyDescent="0.2">
      <c r="A59" s="3" t="s">
        <v>161</v>
      </c>
      <c r="C59" s="30">
        <v>5.3999999999999999E-2</v>
      </c>
      <c r="D59" s="30">
        <v>5.6000000000000001E-2</v>
      </c>
      <c r="E59" s="87"/>
      <c r="F59" s="30">
        <v>2.4E-2</v>
      </c>
      <c r="G59" s="30">
        <v>7.0000000000000001E-3</v>
      </c>
      <c r="H59" s="87"/>
      <c r="I59" s="30">
        <v>7.6999999999999999E-2</v>
      </c>
      <c r="J59" s="30">
        <v>7.2999999999999995E-2</v>
      </c>
      <c r="N59" s="64">
        <v>2014</v>
      </c>
      <c r="P59" s="9">
        <v>5353.5698000000066</v>
      </c>
      <c r="Q59" s="9">
        <v>6392.2221999999956</v>
      </c>
      <c r="R59" s="9">
        <v>30683.407000000199</v>
      </c>
      <c r="S59" s="9">
        <v>25223.142600000061</v>
      </c>
      <c r="T59" s="9">
        <v>44725.837800000074</v>
      </c>
      <c r="U59" s="9">
        <v>35793.051500000118</v>
      </c>
      <c r="V59" s="9">
        <v>32342.002300000077</v>
      </c>
      <c r="W59" s="9">
        <v>21009.286000000033</v>
      </c>
      <c r="X59" s="9">
        <v>25708.641100000055</v>
      </c>
      <c r="Y59" s="9">
        <v>12682.845899999978</v>
      </c>
      <c r="Z59" s="9">
        <f t="shared" si="4"/>
        <v>138813.45800000042</v>
      </c>
      <c r="AA59" s="9">
        <f t="shared" si="5"/>
        <v>101100.54820000019</v>
      </c>
    </row>
    <row r="60" spans="1:27" x14ac:dyDescent="0.2">
      <c r="A60" s="3" t="s">
        <v>162</v>
      </c>
      <c r="C60" s="30">
        <v>5.1999999999999998E-2</v>
      </c>
      <c r="D60" s="30">
        <v>0.05</v>
      </c>
      <c r="E60" s="87"/>
      <c r="F60" s="30">
        <v>6.0000000000000001E-3</v>
      </c>
      <c r="G60" s="30">
        <v>3.0000000000000001E-3</v>
      </c>
      <c r="H60" s="87"/>
      <c r="I60" s="30">
        <v>8.6999999999999994E-2</v>
      </c>
      <c r="J60" s="30">
        <v>0.08</v>
      </c>
      <c r="N60" s="64"/>
    </row>
    <row r="61" spans="1:27" x14ac:dyDescent="0.2">
      <c r="A61" s="3" t="s">
        <v>163</v>
      </c>
      <c r="C61" s="30">
        <v>5.2999999999999999E-2</v>
      </c>
      <c r="D61" s="30">
        <v>4.7E-2</v>
      </c>
      <c r="E61" s="87"/>
      <c r="F61" s="30">
        <v>3.0000000000000001E-3</v>
      </c>
      <c r="G61" s="30">
        <v>2E-3</v>
      </c>
      <c r="H61" s="87"/>
      <c r="I61" s="30">
        <v>9.6000000000000002E-2</v>
      </c>
      <c r="J61" s="30">
        <v>0.09</v>
      </c>
      <c r="N61" s="3" t="s">
        <v>471</v>
      </c>
      <c r="P61" s="30">
        <f>AVERAGE($P$52/SUM($Z$52,$AA$52),$P$53/SUM($Z$53,$AA$53),$P$54/SUM($Z$54,$AA$54),$P$55/SUM($Z$55,$AA$55),$P$56/SUM($Z$56,$AA$56),$P$57/SUM($Z$57,$AA$57),$P$58/SUM($Z$58,$AA$58),$P$59/SUM($Z$59,$AA$59))</f>
        <v>2.0172283778756715E-2</v>
      </c>
      <c r="Q61" s="30">
        <f>AVERAGE($Q$52/SUM($Z$52,$AA$52),$Q$53/SUM($Z$53,$AA$53),$Q$54/SUM($Z$54,$AA$54),$Q$55/SUM($Z$55,$AA$55),$Q$56/SUM($Z$56,$AA$56),$Q$57/SUM($Z$57,$AA$57),$Q$58/SUM($Z$58,$AA$58),$Q$59/SUM($Z$59,$AA$59))</f>
        <v>2.330692351877596E-2</v>
      </c>
      <c r="R61" s="30">
        <f>AVERAGE($R$52/SUM($Z$52,$AA$52),$R$53/SUM($Z$53,$AA$53),$R$54/SUM($Z$54,$AA$54),$R$55/SUM($Z$55,$AA$55),$R$56/SUM($Z$56,$AA$56),$R$57/SUM($Z$57,$AA$57),$R$58/SUM($Z$58,$AA$58),$R$59/SUM($Z$59,$AA$59))</f>
        <v>0.11963595496833568</v>
      </c>
      <c r="S61" s="30">
        <f>AVERAGE($S$52/SUM($Z$52,$AA$52),$S$53/SUM($Z$53,$AA$53),$S$54/SUM($Z$54,$AA$54),$S$55/SUM($Z$55,$AA$55),$S$56/SUM($Z$56,$AA$56),$S$57/SUM($Z$57,$AA$57),$S$58/SUM($Z$58,$AA$58),$S$59/SUM($Z$59,$AA$59))</f>
        <v>9.7521539438384208E-2</v>
      </c>
      <c r="T61" s="30">
        <f>AVERAGE($T$52/SUM($Z$52,$AA$52),$T$53/SUM($Z$53,$AA$53),$T$54/SUM($Z$54,$AA$54),$T$55/SUM($Z$55,$AA$55),$T$56/SUM($Z$56,$AA$56),$T$57/SUM($Z$57,$AA$57),$T$58/SUM($Z$58,$AA$58),$T$59/SUM($Z$59,$AA$59))</f>
        <v>0.17626780257146929</v>
      </c>
      <c r="U61" s="30">
        <f>AVERAGE($U$52/SUM($Z$52,$AA$52),$U$53/SUM($Z$53,$AA$53),$U$54/SUM($Z$54,$AA$54),$U$55/SUM($Z$55,$AA$55),$U$56/SUM($Z$56,$AA$56),$U$57/SUM($Z$57,$AA$57),$U$58/SUM($Z$58,$AA$58),$U$59/SUM($Z$59,$AA$59))</f>
        <v>0.14284882027010151</v>
      </c>
      <c r="V61" s="30">
        <f>AVERAGE($V$52/SUM($Z$52,$AA$52),$V$53/SUM($Z$53,$AA$53),$V$54/SUM($Z$54,$AA$54),$V$55/SUM($Z$55,$AA$55),$V$56/SUM($Z$56,$AA$56),$V$57/SUM($Z$57,$AA$57),$V$58/SUM($Z$58,$AA$58),$V$59/SUM($Z$59,$AA$59))</f>
        <v>0.14191176498578673</v>
      </c>
      <c r="W61" s="30">
        <f>AVERAGE($W$52/SUM($Z$52,$AA$52),$W$53/SUM($Z$53,$AA$53),$W$54/SUM($Z$54,$AA$54),$W$55/SUM($Z$55,$AA$55),$W$56/SUM($Z$56,$AA$56),$W$57/SUM($Z$57,$AA$57),$W$58/SUM($Z$58,$AA$58),$W$59/SUM($Z$59,$AA$59))</f>
        <v>9.527740060908782E-2</v>
      </c>
      <c r="X61" s="30">
        <f>AVERAGE($X$52/SUM($Z$52,$AA$52),$X$53/SUM($Z$53,$AA$53),$X$54/SUM($Z$54,$AA$54),$X$55/SUM($Z$55,$AA$55),$X$56/SUM($Z$56,$AA$56),$X$57/SUM($Z$57,$AA$57),$X$58/SUM($Z$58,$AA$58),$X$59/SUM($Z$59,$AA$59))</f>
        <v>0.11990737119104453</v>
      </c>
      <c r="Y61" s="30">
        <f>AVERAGE($Y$52/SUM($Z$52,$AA$52),$Y$53/SUM($Z$53,$AA$53),$Y$54/SUM($Z$54,$AA$54),$Y$55/SUM($Z$55,$AA$55),$Y$56/SUM($Z$56,$AA$56),$Y$57/SUM($Z$57,$AA$57),$Y$58/SUM($Z$58,$AA$58),$Y$59/SUM($Z$59,$AA$59))</f>
        <v>6.3150138668257555E-2</v>
      </c>
    </row>
    <row r="62" spans="1:27" x14ac:dyDescent="0.2">
      <c r="A62" s="3" t="s">
        <v>164</v>
      </c>
      <c r="C62" s="30">
        <v>0.02</v>
      </c>
      <c r="D62" s="30">
        <v>1.7000000000000001E-2</v>
      </c>
      <c r="E62" s="87"/>
      <c r="F62" s="30">
        <v>0</v>
      </c>
      <c r="G62" s="30">
        <v>0</v>
      </c>
      <c r="H62" s="87"/>
      <c r="I62" s="30">
        <v>1.4999999999999999E-2</v>
      </c>
      <c r="J62" s="30">
        <v>1.7000000000000001E-2</v>
      </c>
    </row>
    <row r="63" spans="1:27" x14ac:dyDescent="0.2">
      <c r="P63" s="30"/>
      <c r="Q63" s="30"/>
      <c r="R63" s="30"/>
      <c r="S63" s="30"/>
      <c r="T63" s="30"/>
      <c r="U63" s="30"/>
      <c r="V63" s="30"/>
      <c r="W63" s="30"/>
      <c r="X63" s="30"/>
      <c r="Y63" s="30"/>
    </row>
  </sheetData>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0"/>
  <sheetViews>
    <sheetView topLeftCell="D1" zoomScale="90" zoomScaleNormal="90" workbookViewId="0">
      <selection activeCell="E8" sqref="E8:S9"/>
    </sheetView>
  </sheetViews>
  <sheetFormatPr defaultColWidth="8.7109375" defaultRowHeight="12.75" x14ac:dyDescent="0.2"/>
  <cols>
    <col min="1" max="4" width="16.85546875" style="3" customWidth="1"/>
    <col min="5" max="9" width="8.7109375" style="3"/>
    <col min="10" max="10" width="8.7109375" style="3" customWidth="1"/>
    <col min="11" max="16384" width="8.7109375" style="3"/>
  </cols>
  <sheetData>
    <row r="1" spans="1:19" ht="15.75" x14ac:dyDescent="0.25">
      <c r="A1" s="1" t="s">
        <v>1163</v>
      </c>
    </row>
    <row r="2" spans="1:19" x14ac:dyDescent="0.2">
      <c r="A2" s="4" t="s">
        <v>165</v>
      </c>
      <c r="J2" s="4"/>
    </row>
    <row r="3" spans="1:19" x14ac:dyDescent="0.2">
      <c r="A3" s="4"/>
    </row>
    <row r="4" spans="1:19" x14ac:dyDescent="0.2">
      <c r="A4" s="2" t="s">
        <v>100</v>
      </c>
      <c r="E4" s="46" t="s">
        <v>42</v>
      </c>
      <c r="F4" s="46" t="s">
        <v>43</v>
      </c>
      <c r="G4" s="46" t="s">
        <v>44</v>
      </c>
      <c r="H4" s="46" t="s">
        <v>45</v>
      </c>
      <c r="I4" s="46" t="s">
        <v>46</v>
      </c>
      <c r="J4" s="46" t="s">
        <v>47</v>
      </c>
      <c r="K4" s="46" t="s">
        <v>48</v>
      </c>
      <c r="L4" s="46" t="s">
        <v>49</v>
      </c>
      <c r="M4" s="46" t="s">
        <v>50</v>
      </c>
      <c r="N4" s="46" t="s">
        <v>51</v>
      </c>
      <c r="O4" s="48" t="s">
        <v>52</v>
      </c>
      <c r="P4" s="48" t="s">
        <v>53</v>
      </c>
      <c r="Q4" s="48" t="s">
        <v>54</v>
      </c>
      <c r="R4" s="48" t="s">
        <v>55</v>
      </c>
      <c r="S4" s="48" t="s">
        <v>56</v>
      </c>
    </row>
    <row r="5" spans="1:19" x14ac:dyDescent="0.2">
      <c r="E5" s="47">
        <v>2006</v>
      </c>
      <c r="F5" s="47">
        <v>2007</v>
      </c>
      <c r="G5" s="47">
        <v>2008</v>
      </c>
      <c r="H5" s="47">
        <v>2009</v>
      </c>
      <c r="I5" s="47">
        <v>2010</v>
      </c>
      <c r="J5" s="47">
        <v>2011</v>
      </c>
      <c r="K5" s="47">
        <v>2012</v>
      </c>
      <c r="L5" s="47">
        <v>2013</v>
      </c>
      <c r="M5" s="47">
        <v>2014</v>
      </c>
      <c r="N5" s="47">
        <v>2015</v>
      </c>
      <c r="O5" s="49">
        <v>2016</v>
      </c>
      <c r="P5" s="49">
        <v>2017</v>
      </c>
      <c r="Q5" s="49">
        <v>2018</v>
      </c>
      <c r="R5" s="49">
        <v>2019</v>
      </c>
      <c r="S5" s="49">
        <v>2020</v>
      </c>
    </row>
    <row r="6" spans="1:19" x14ac:dyDescent="0.2">
      <c r="A6" s="31" t="s">
        <v>1149</v>
      </c>
      <c r="D6" s="32" t="s">
        <v>170</v>
      </c>
      <c r="E6" s="21">
        <v>186.63200000000001</v>
      </c>
      <c r="F6" s="21">
        <v>192.51</v>
      </c>
      <c r="G6" s="21">
        <v>196.36500000000001</v>
      </c>
      <c r="H6" s="21">
        <v>192.47</v>
      </c>
      <c r="I6" s="21">
        <v>194.09700000000001</v>
      </c>
      <c r="J6" s="21">
        <v>196.048</v>
      </c>
      <c r="K6" s="21">
        <v>201.077</v>
      </c>
      <c r="L6" s="21">
        <v>205.315</v>
      </c>
      <c r="M6" s="21">
        <v>211.239</v>
      </c>
      <c r="N6" s="21">
        <v>217.47800000000001</v>
      </c>
      <c r="O6" s="24">
        <v>222.02699999999999</v>
      </c>
      <c r="P6" s="24">
        <v>227.78399999999999</v>
      </c>
      <c r="Q6" s="24">
        <v>236.31299999999999</v>
      </c>
      <c r="R6" s="24">
        <v>242.58099999999999</v>
      </c>
      <c r="S6" s="24">
        <v>247.733</v>
      </c>
    </row>
    <row r="7" spans="1:19" x14ac:dyDescent="0.2">
      <c r="A7" s="31" t="s">
        <v>166</v>
      </c>
      <c r="D7" s="32" t="s">
        <v>170</v>
      </c>
      <c r="E7" s="21">
        <v>164.96899999999999</v>
      </c>
      <c r="F7" s="21">
        <v>174.96700000000001</v>
      </c>
      <c r="G7" s="21">
        <v>188.107</v>
      </c>
      <c r="H7" s="21">
        <v>187.494</v>
      </c>
      <c r="I7" s="21">
        <v>195.40199999999999</v>
      </c>
      <c r="J7" s="21">
        <v>203.76300000000001</v>
      </c>
      <c r="K7" s="21">
        <v>212.32599999999999</v>
      </c>
      <c r="L7" s="21">
        <v>216.602</v>
      </c>
      <c r="M7" s="21">
        <v>233.964</v>
      </c>
      <c r="N7" s="21">
        <v>240.59100000000001</v>
      </c>
      <c r="O7" s="24">
        <v>244.923</v>
      </c>
      <c r="P7" s="24">
        <v>254.97200000000001</v>
      </c>
      <c r="Q7" s="24">
        <v>271.233</v>
      </c>
      <c r="R7" s="24">
        <v>284.87400000000002</v>
      </c>
      <c r="S7" s="24">
        <v>296.3</v>
      </c>
    </row>
    <row r="8" spans="1:19" x14ac:dyDescent="0.2">
      <c r="A8" s="2" t="s">
        <v>1164</v>
      </c>
      <c r="D8" s="3" t="s">
        <v>181</v>
      </c>
      <c r="E8" s="34">
        <v>2.1983000000000001</v>
      </c>
      <c r="F8" s="34">
        <v>2.2334999999999998</v>
      </c>
      <c r="G8" s="34">
        <v>2.2613000000000003</v>
      </c>
      <c r="H8" s="34">
        <v>2.2865000000000002</v>
      </c>
      <c r="I8" s="34">
        <v>2.2955000000000001</v>
      </c>
      <c r="J8" s="34">
        <v>2.3275000000000001</v>
      </c>
      <c r="K8" s="34">
        <v>2.3490000000000002</v>
      </c>
      <c r="L8" s="34">
        <v>2.3548</v>
      </c>
      <c r="M8" s="34">
        <v>2.4123000000000001</v>
      </c>
      <c r="N8" s="34">
        <v>2.4838</v>
      </c>
      <c r="O8" s="35">
        <v>2.5174000000000003</v>
      </c>
      <c r="P8" s="35">
        <v>2.5529000000000002</v>
      </c>
      <c r="Q8" s="35">
        <v>2.5861000000000001</v>
      </c>
      <c r="R8" s="35">
        <v>2.6258000000000004</v>
      </c>
      <c r="S8" s="35">
        <v>2.6551999999999998</v>
      </c>
    </row>
    <row r="9" spans="1:19" x14ac:dyDescent="0.2">
      <c r="A9" s="2" t="s">
        <v>172</v>
      </c>
      <c r="C9" s="2"/>
      <c r="D9" s="3" t="s">
        <v>181</v>
      </c>
      <c r="E9" s="34">
        <v>3.2250999999999999</v>
      </c>
      <c r="F9" s="34">
        <v>3.2725999999999997</v>
      </c>
      <c r="G9" s="34">
        <v>3.3045999999999998</v>
      </c>
      <c r="H9" s="34">
        <v>3.3358000000000003</v>
      </c>
      <c r="I9" s="34">
        <v>3.3767</v>
      </c>
      <c r="J9" s="34">
        <v>3.4116</v>
      </c>
      <c r="K9" s="34">
        <v>3.4369999999999998</v>
      </c>
      <c r="L9" s="34">
        <v>3.4639000000000002</v>
      </c>
      <c r="M9" s="34">
        <v>3.5129999999999999</v>
      </c>
      <c r="N9" s="34">
        <v>3.5856999999999997</v>
      </c>
      <c r="O9" s="35">
        <v>3.6663000000000001</v>
      </c>
      <c r="P9" s="35">
        <v>3.7277</v>
      </c>
      <c r="Q9" s="35">
        <v>3.7693000000000003</v>
      </c>
      <c r="R9" s="35">
        <v>3.8090000000000002</v>
      </c>
      <c r="S9" s="35">
        <v>3.8488000000000002</v>
      </c>
    </row>
    <row r="10" spans="1:19" x14ac:dyDescent="0.2">
      <c r="A10" s="2" t="s">
        <v>171</v>
      </c>
      <c r="D10" s="3" t="s">
        <v>181</v>
      </c>
      <c r="E10" s="34">
        <v>4.1669</v>
      </c>
      <c r="F10" s="34">
        <v>4.2119999999999997</v>
      </c>
      <c r="G10" s="34">
        <v>4.2488999999999999</v>
      </c>
      <c r="H10" s="34">
        <v>4.2865000000000002</v>
      </c>
      <c r="I10" s="34">
        <v>4.3365</v>
      </c>
      <c r="J10" s="34">
        <v>4.3757999999999999</v>
      </c>
      <c r="K10" s="34">
        <v>4.4015000000000004</v>
      </c>
      <c r="L10" s="34">
        <v>4.4298999999999999</v>
      </c>
      <c r="M10" s="34">
        <v>4.4847999999999999</v>
      </c>
      <c r="N10" s="34">
        <v>4.5656999999999996</v>
      </c>
      <c r="O10" s="35">
        <v>4.6528</v>
      </c>
      <c r="P10" s="35">
        <v>4.7168999999999999</v>
      </c>
      <c r="Q10" s="35">
        <v>4.7616000000000005</v>
      </c>
      <c r="R10" s="35">
        <v>4.8041999999999998</v>
      </c>
      <c r="S10" s="35">
        <v>4.8470000000000004</v>
      </c>
    </row>
    <row r="11" spans="1:19" x14ac:dyDescent="0.2">
      <c r="A11" s="31" t="s">
        <v>173</v>
      </c>
      <c r="D11" s="3" t="s">
        <v>181</v>
      </c>
      <c r="E11" s="38">
        <v>3.8300000000000001E-2</v>
      </c>
      <c r="F11" s="38">
        <v>3.8300000000000001E-2</v>
      </c>
      <c r="G11" s="38">
        <v>3.73E-2</v>
      </c>
      <c r="H11" s="38">
        <v>0.05</v>
      </c>
      <c r="I11" s="38">
        <v>6.6299999999999998E-2</v>
      </c>
      <c r="J11" s="38">
        <v>6.5500000000000003E-2</v>
      </c>
      <c r="K11" s="38">
        <v>6.6299999999999998E-2</v>
      </c>
      <c r="L11" s="38">
        <v>6.6500000000000004E-2</v>
      </c>
      <c r="M11" s="38">
        <v>0.06</v>
      </c>
      <c r="N11" s="38">
        <v>5.7500000000000002E-2</v>
      </c>
      <c r="O11" s="39">
        <v>6.2899999999999998E-2</v>
      </c>
      <c r="P11" s="39">
        <v>6.1699999999999998E-2</v>
      </c>
      <c r="Q11" s="39">
        <v>5.4299999999999994E-2</v>
      </c>
      <c r="R11" s="39">
        <v>4.7100000000000003E-2</v>
      </c>
      <c r="S11" s="39">
        <v>4.5400000000000003E-2</v>
      </c>
    </row>
    <row r="12" spans="1:19" x14ac:dyDescent="0.2">
      <c r="A12" s="31" t="s">
        <v>1165</v>
      </c>
      <c r="D12" s="3" t="s">
        <v>181</v>
      </c>
      <c r="E12" s="40">
        <v>34.46</v>
      </c>
      <c r="F12" s="40">
        <v>34.159999999999997</v>
      </c>
      <c r="G12" s="40">
        <v>33.72</v>
      </c>
      <c r="H12" s="40">
        <v>33.36</v>
      </c>
      <c r="I12" s="40">
        <v>33.24</v>
      </c>
      <c r="J12" s="40">
        <v>33.36</v>
      </c>
      <c r="K12" s="40">
        <v>33.21</v>
      </c>
      <c r="L12" s="40">
        <v>33.44</v>
      </c>
      <c r="M12" s="40">
        <v>33.44</v>
      </c>
      <c r="N12" s="40">
        <v>33.22</v>
      </c>
      <c r="O12" s="41">
        <v>33.31</v>
      </c>
      <c r="P12" s="41">
        <v>33.07</v>
      </c>
      <c r="Q12" s="41">
        <v>32.94</v>
      </c>
      <c r="R12" s="41">
        <v>32.89</v>
      </c>
      <c r="S12" s="41">
        <v>32.869999999999997</v>
      </c>
    </row>
    <row r="13" spans="1:19" x14ac:dyDescent="0.2">
      <c r="A13" s="33" t="s">
        <v>169</v>
      </c>
      <c r="D13" s="3" t="s">
        <v>181</v>
      </c>
      <c r="E13" s="40">
        <v>31.98</v>
      </c>
      <c r="F13" s="40">
        <v>32.15</v>
      </c>
      <c r="G13" s="40">
        <v>32.17</v>
      </c>
      <c r="H13" s="40">
        <v>32.07</v>
      </c>
      <c r="I13" s="40">
        <v>31.97</v>
      </c>
      <c r="J13" s="40">
        <v>32.340000000000003</v>
      </c>
      <c r="K13" s="40">
        <v>32.5</v>
      </c>
      <c r="L13" s="40">
        <v>32.67</v>
      </c>
      <c r="M13" s="40">
        <v>32.94</v>
      </c>
      <c r="N13" s="40">
        <v>32.840000000000003</v>
      </c>
      <c r="O13" s="41">
        <v>32.86</v>
      </c>
      <c r="P13" s="41">
        <v>32.619999999999997</v>
      </c>
      <c r="Q13" s="41">
        <v>32.49</v>
      </c>
      <c r="R13" s="41">
        <v>32.44</v>
      </c>
      <c r="S13" s="41">
        <v>32.42</v>
      </c>
    </row>
    <row r="14" spans="1:19" x14ac:dyDescent="0.2">
      <c r="A14" s="31" t="s">
        <v>174</v>
      </c>
      <c r="D14" s="3" t="s">
        <v>182</v>
      </c>
      <c r="E14" s="38">
        <v>1.2699999999999999E-2</v>
      </c>
      <c r="F14" s="38">
        <v>2.3599999999999999E-2</v>
      </c>
      <c r="G14" s="38">
        <v>1.9900000000000001E-2</v>
      </c>
      <c r="H14" s="38">
        <v>-7.0000000000000001E-3</v>
      </c>
      <c r="I14" s="38">
        <v>2.5499999999999998E-2</v>
      </c>
      <c r="J14" s="38">
        <v>-8.0999999999999996E-3</v>
      </c>
      <c r="K14" s="38">
        <v>2.1700000000000001E-2</v>
      </c>
      <c r="L14" s="38">
        <v>1.24E-2</v>
      </c>
      <c r="M14" s="38">
        <v>-3.0999999999999999E-3</v>
      </c>
      <c r="N14" s="38">
        <v>3.8E-3</v>
      </c>
      <c r="O14" s="39">
        <v>1.03E-2</v>
      </c>
      <c r="P14" s="39">
        <v>1.77E-2</v>
      </c>
      <c r="Q14" s="39">
        <v>2.01E-2</v>
      </c>
      <c r="R14" s="39">
        <v>5.0000000000000001E-3</v>
      </c>
      <c r="S14" s="39">
        <v>8.8000000000000005E-3</v>
      </c>
    </row>
    <row r="15" spans="1:19" x14ac:dyDescent="0.2">
      <c r="A15" s="31" t="s">
        <v>167</v>
      </c>
      <c r="D15" s="3" t="s">
        <v>183</v>
      </c>
      <c r="E15" s="37">
        <v>1000</v>
      </c>
      <c r="F15" s="37">
        <v>1020</v>
      </c>
      <c r="G15" s="37">
        <v>1061</v>
      </c>
      <c r="H15" s="37">
        <v>1081</v>
      </c>
      <c r="I15" s="37">
        <v>1099</v>
      </c>
      <c r="J15" s="37">
        <v>1157</v>
      </c>
      <c r="K15" s="37">
        <v>1168</v>
      </c>
      <c r="L15" s="37">
        <v>1176</v>
      </c>
      <c r="M15" s="37">
        <v>1195</v>
      </c>
      <c r="N15" s="37">
        <v>1200</v>
      </c>
      <c r="O15" s="36">
        <v>1221</v>
      </c>
      <c r="P15" s="36">
        <v>1243</v>
      </c>
      <c r="Q15" s="36">
        <v>1268</v>
      </c>
      <c r="R15" s="36">
        <v>1295</v>
      </c>
      <c r="S15" s="36">
        <v>1324</v>
      </c>
    </row>
    <row r="16" spans="1:19" x14ac:dyDescent="0.2">
      <c r="A16" s="31" t="s">
        <v>175</v>
      </c>
      <c r="D16" s="3" t="s">
        <v>182</v>
      </c>
      <c r="E16" s="38">
        <v>4.9700000000000001E-2</v>
      </c>
      <c r="F16" s="38">
        <v>4.8099999999999997E-2</v>
      </c>
      <c r="G16" s="38">
        <v>4.5900000000000003E-2</v>
      </c>
      <c r="H16" s="38">
        <v>5.3100000000000001E-2</v>
      </c>
      <c r="I16" s="38">
        <v>2.1899999999999999E-2</v>
      </c>
      <c r="J16" s="38">
        <v>2.1399999999999999E-2</v>
      </c>
      <c r="K16" s="38">
        <v>3.1699999999999999E-2</v>
      </c>
      <c r="L16" s="38">
        <v>2.3900000000000001E-2</v>
      </c>
      <c r="M16" s="38">
        <v>2.64E-2</v>
      </c>
      <c r="N16" s="38">
        <v>2.4400000000000002E-2</v>
      </c>
      <c r="O16" s="39">
        <v>2.1299999999999999E-2</v>
      </c>
      <c r="P16" s="39">
        <v>1.9199999999999998E-2</v>
      </c>
      <c r="Q16" s="39">
        <v>2.12E-2</v>
      </c>
      <c r="R16" s="39">
        <v>2.7199999999999998E-2</v>
      </c>
      <c r="S16" s="39">
        <v>3.2899999999999999E-2</v>
      </c>
    </row>
    <row r="17" spans="1:19" x14ac:dyDescent="0.2">
      <c r="A17" s="31" t="s">
        <v>1199</v>
      </c>
      <c r="D17" s="3" t="s">
        <v>184</v>
      </c>
      <c r="E17" s="38">
        <v>5.79E-2</v>
      </c>
      <c r="F17" s="38">
        <v>5.96E-2</v>
      </c>
      <c r="G17" s="38">
        <v>6.4100000000000004E-2</v>
      </c>
      <c r="H17" s="38">
        <v>5.4299999999999994E-2</v>
      </c>
      <c r="I17" s="38">
        <v>5.8200000000000002E-2</v>
      </c>
      <c r="J17" s="38">
        <v>5.4199999999999998E-2</v>
      </c>
      <c r="K17" s="38">
        <v>4.1399999999999999E-2</v>
      </c>
      <c r="L17" s="38">
        <v>3.5699999999999996E-2</v>
      </c>
      <c r="M17" s="38">
        <v>4.5499999999999999E-2</v>
      </c>
      <c r="N17" s="38">
        <v>3.7699999999999997E-2</v>
      </c>
      <c r="O17" s="39">
        <v>3.3300000000000003E-2</v>
      </c>
      <c r="P17" s="39">
        <v>3.5400000000000001E-2</v>
      </c>
      <c r="Q17" s="39">
        <v>4.1599999999999998E-2</v>
      </c>
      <c r="R17" s="39">
        <v>4.5599999999999995E-2</v>
      </c>
      <c r="S17" s="39">
        <v>4.7699999999999992E-2</v>
      </c>
    </row>
    <row r="18" spans="1:19" x14ac:dyDescent="0.2">
      <c r="A18" s="31" t="s">
        <v>176</v>
      </c>
      <c r="D18" s="3" t="s">
        <v>185</v>
      </c>
      <c r="E18" s="40">
        <v>783.78</v>
      </c>
      <c r="F18" s="40">
        <v>832.3</v>
      </c>
      <c r="G18" s="40">
        <v>861.27</v>
      </c>
      <c r="H18" s="40">
        <v>905.51</v>
      </c>
      <c r="I18" s="40">
        <v>934.78</v>
      </c>
      <c r="J18" s="40">
        <v>967.96</v>
      </c>
      <c r="K18" s="40">
        <v>994.19</v>
      </c>
      <c r="L18" s="40">
        <v>1022.88</v>
      </c>
      <c r="M18" s="40">
        <v>1051.6400000000001</v>
      </c>
      <c r="N18" s="40">
        <v>1077.5</v>
      </c>
      <c r="O18" s="41">
        <v>1103.96</v>
      </c>
      <c r="P18" s="41">
        <v>1116.4100000000001</v>
      </c>
      <c r="Q18" s="41">
        <v>1134.1099999999999</v>
      </c>
      <c r="R18" s="41">
        <v>1161.83</v>
      </c>
      <c r="S18" s="41">
        <v>1198.73</v>
      </c>
    </row>
    <row r="19" spans="1:19" x14ac:dyDescent="0.2">
      <c r="A19" s="31"/>
      <c r="E19" s="21"/>
      <c r="F19" s="21"/>
      <c r="G19" s="21"/>
      <c r="H19" s="21"/>
      <c r="I19" s="21"/>
      <c r="J19" s="21"/>
      <c r="K19" s="21"/>
      <c r="L19" s="21"/>
      <c r="M19" s="21"/>
      <c r="N19" s="21"/>
      <c r="O19" s="24"/>
      <c r="P19" s="24"/>
      <c r="Q19" s="24"/>
      <c r="R19" s="24"/>
      <c r="S19" s="24"/>
    </row>
    <row r="20" spans="1:19" x14ac:dyDescent="0.2">
      <c r="A20" s="31" t="s">
        <v>177</v>
      </c>
      <c r="F20" s="7"/>
      <c r="G20" s="7"/>
      <c r="H20" s="7"/>
      <c r="I20" s="7"/>
      <c r="J20" s="7"/>
      <c r="K20" s="7"/>
      <c r="L20" s="7"/>
      <c r="M20" s="7"/>
      <c r="N20" s="7"/>
      <c r="O20" s="7"/>
      <c r="P20" s="7"/>
      <c r="Q20" s="7"/>
      <c r="R20" s="7"/>
      <c r="S20" s="7"/>
    </row>
    <row r="21" spans="1:19" x14ac:dyDescent="0.2">
      <c r="A21" s="4" t="s">
        <v>178</v>
      </c>
      <c r="F21" s="21"/>
      <c r="G21" s="21"/>
      <c r="H21" s="21"/>
      <c r="I21" s="21"/>
      <c r="J21" s="21"/>
      <c r="K21" s="21"/>
      <c r="L21" s="21"/>
      <c r="M21" s="24"/>
      <c r="N21" s="24"/>
      <c r="O21" s="24"/>
      <c r="P21" s="24"/>
      <c r="Q21" s="24"/>
      <c r="R21" s="7"/>
      <c r="S21" s="7"/>
    </row>
    <row r="22" spans="1:19" x14ac:dyDescent="0.2">
      <c r="A22" s="31" t="s">
        <v>179</v>
      </c>
      <c r="D22" s="3" t="s">
        <v>185</v>
      </c>
      <c r="E22" s="40">
        <v>614.05999999999995</v>
      </c>
      <c r="F22" s="40">
        <v>645.82000000000005</v>
      </c>
      <c r="G22" s="40">
        <v>664.02</v>
      </c>
      <c r="H22" s="40">
        <v>723.19</v>
      </c>
      <c r="I22" s="40">
        <v>741.53</v>
      </c>
      <c r="J22" s="40">
        <v>792.36</v>
      </c>
      <c r="K22" s="40">
        <v>813.32</v>
      </c>
      <c r="L22" s="40">
        <v>833.14</v>
      </c>
      <c r="M22" s="40">
        <v>855.33</v>
      </c>
      <c r="N22" s="40">
        <v>873.01</v>
      </c>
      <c r="O22" s="41">
        <v>891.3</v>
      </c>
      <c r="P22" s="41">
        <v>899.66</v>
      </c>
      <c r="Q22" s="41">
        <v>911.7</v>
      </c>
      <c r="R22" s="41">
        <v>930.93</v>
      </c>
      <c r="S22" s="41">
        <v>956.19</v>
      </c>
    </row>
    <row r="23" spans="1:19" x14ac:dyDescent="0.2">
      <c r="A23" s="31" t="s">
        <v>445</v>
      </c>
      <c r="D23" s="3" t="s">
        <v>186</v>
      </c>
      <c r="E23" s="40">
        <v>203</v>
      </c>
      <c r="F23" s="40">
        <v>213.12</v>
      </c>
      <c r="G23" s="40">
        <v>219.9</v>
      </c>
      <c r="H23" s="40">
        <v>239.19</v>
      </c>
      <c r="I23" s="40">
        <v>244.71</v>
      </c>
      <c r="J23" s="40">
        <v>261.48</v>
      </c>
      <c r="K23" s="40">
        <v>268.39999999999998</v>
      </c>
      <c r="L23" s="40">
        <v>274.94</v>
      </c>
      <c r="M23" s="40">
        <v>282.26</v>
      </c>
      <c r="N23" s="40">
        <v>288.10000000000002</v>
      </c>
      <c r="O23" s="41">
        <v>294.13</v>
      </c>
      <c r="P23" s="41">
        <v>299.42</v>
      </c>
      <c r="Q23" s="41">
        <v>305.11</v>
      </c>
      <c r="R23" s="41">
        <v>311.52</v>
      </c>
      <c r="S23" s="41">
        <v>318.37</v>
      </c>
    </row>
    <row r="24" spans="1:19" x14ac:dyDescent="0.2">
      <c r="A24" s="31" t="s">
        <v>446</v>
      </c>
      <c r="D24" s="3" t="s">
        <v>186</v>
      </c>
      <c r="E24" s="40">
        <v>243.06</v>
      </c>
      <c r="F24" s="40">
        <v>255.7</v>
      </c>
      <c r="G24" s="40">
        <v>264.37</v>
      </c>
      <c r="H24" s="40">
        <v>273.63</v>
      </c>
      <c r="I24" s="40">
        <v>280.62</v>
      </c>
      <c r="J24" s="40">
        <v>294.08000000000004</v>
      </c>
      <c r="K24" s="40">
        <v>302.39999999999998</v>
      </c>
      <c r="L24" s="40">
        <v>310.33999999999997</v>
      </c>
      <c r="M24" s="40">
        <v>319.23</v>
      </c>
      <c r="N24" s="40">
        <v>326.3</v>
      </c>
      <c r="O24" s="41">
        <v>333.55</v>
      </c>
      <c r="P24" s="41">
        <v>340.07</v>
      </c>
      <c r="Q24" s="41">
        <v>346.81</v>
      </c>
      <c r="R24" s="41">
        <v>354.62</v>
      </c>
      <c r="S24" s="41">
        <v>363.04</v>
      </c>
    </row>
    <row r="25" spans="1:19" x14ac:dyDescent="0.2">
      <c r="A25" s="31" t="s">
        <v>180</v>
      </c>
      <c r="D25" s="3" t="s">
        <v>187</v>
      </c>
      <c r="E25" s="21">
        <v>5.2389999999999999</v>
      </c>
      <c r="F25" s="21">
        <v>5.5419999999999998</v>
      </c>
      <c r="G25" s="21">
        <v>5.9660000000000002</v>
      </c>
      <c r="H25" s="21">
        <v>6.4550000000000001</v>
      </c>
      <c r="I25" s="21">
        <v>6.9630000000000001</v>
      </c>
      <c r="J25" s="21">
        <v>7.5609999999999999</v>
      </c>
      <c r="K25" s="21">
        <v>8.2379999999999995</v>
      </c>
      <c r="L25" s="21">
        <v>8.7750000000000004</v>
      </c>
      <c r="M25" s="21">
        <v>9.3330000000000002</v>
      </c>
      <c r="N25" s="21">
        <v>9.8879999999999999</v>
      </c>
      <c r="O25" s="24">
        <v>10.4</v>
      </c>
      <c r="P25" s="24">
        <v>10.920999999999999</v>
      </c>
      <c r="Q25" s="24">
        <v>11.468</v>
      </c>
      <c r="R25" s="24">
        <v>12.058</v>
      </c>
      <c r="S25" s="24">
        <v>12.755000000000001</v>
      </c>
    </row>
    <row r="28" spans="1:19" x14ac:dyDescent="0.2">
      <c r="A28" s="31" t="s">
        <v>829</v>
      </c>
    </row>
    <row r="29" spans="1:19" x14ac:dyDescent="0.2">
      <c r="A29" s="3" t="s">
        <v>835</v>
      </c>
      <c r="C29" s="3" t="s">
        <v>830</v>
      </c>
      <c r="D29" s="3" t="s">
        <v>833</v>
      </c>
    </row>
    <row r="30" spans="1:19" x14ac:dyDescent="0.2">
      <c r="A30" s="3" t="s">
        <v>831</v>
      </c>
      <c r="B30" s="85">
        <v>14000</v>
      </c>
      <c r="C30" s="30">
        <v>0.105</v>
      </c>
      <c r="D30" s="3">
        <f>$B$30*$C$30</f>
        <v>1470</v>
      </c>
    </row>
    <row r="31" spans="1:19" x14ac:dyDescent="0.2">
      <c r="A31" s="3" t="str">
        <f>CONCATENATE("Between $",$B$30/1000,",000 &amp;")</f>
        <v>Between $14,000 &amp;</v>
      </c>
      <c r="B31" s="85">
        <v>48000</v>
      </c>
      <c r="C31" s="30">
        <v>0.17499999999999999</v>
      </c>
      <c r="D31" s="3">
        <f>($B$31-$B$30)*$C$31+$D$30</f>
        <v>7420</v>
      </c>
    </row>
    <row r="32" spans="1:19" x14ac:dyDescent="0.2">
      <c r="A32" s="3" t="str">
        <f>CONCATENATE("Between $",$B$31/1000,",000 &amp;")</f>
        <v>Between $48,000 &amp;</v>
      </c>
      <c r="B32" s="85">
        <v>70000</v>
      </c>
      <c r="C32" s="30">
        <v>0.3</v>
      </c>
      <c r="D32" s="3">
        <f>($B$32-$B$31)*$C$32+$D$31</f>
        <v>14020</v>
      </c>
    </row>
    <row r="33" spans="1:4" x14ac:dyDescent="0.2">
      <c r="A33" s="3" t="str">
        <f>CONCATENATE("Above $",$B$32/1000,",000")</f>
        <v>Above $70,000</v>
      </c>
      <c r="C33" s="30">
        <v>0.33</v>
      </c>
    </row>
    <row r="34" spans="1:4" x14ac:dyDescent="0.2">
      <c r="A34" s="3" t="s">
        <v>832</v>
      </c>
      <c r="C34" s="86">
        <v>1.4500000000000001E-2</v>
      </c>
    </row>
    <row r="35" spans="1:4" x14ac:dyDescent="0.2">
      <c r="A35" s="5" t="s">
        <v>834</v>
      </c>
      <c r="D35" s="3" t="s">
        <v>838</v>
      </c>
    </row>
    <row r="36" spans="1:4" x14ac:dyDescent="0.2">
      <c r="A36" s="3" t="s">
        <v>836</v>
      </c>
      <c r="C36" s="3" t="s">
        <v>837</v>
      </c>
      <c r="D36" s="3" t="s">
        <v>839</v>
      </c>
    </row>
    <row r="37" spans="1:4" x14ac:dyDescent="0.2">
      <c r="A37" s="3" t="s">
        <v>831</v>
      </c>
      <c r="B37" s="85">
        <f>$B$30-$D$30</f>
        <v>12530</v>
      </c>
      <c r="C37" s="87">
        <f>1-$C$30</f>
        <v>0.89500000000000002</v>
      </c>
      <c r="D37" s="85">
        <f>$B$30*($C$31-$C$30)</f>
        <v>979.99999999999989</v>
      </c>
    </row>
    <row r="38" spans="1:4" x14ac:dyDescent="0.2">
      <c r="A38" s="3" t="str">
        <f>CONCATENATE("Between $",$B$37," &amp;")</f>
        <v>Between $12530 &amp;</v>
      </c>
      <c r="B38" s="85">
        <f>$B$31-$D$31</f>
        <v>40580</v>
      </c>
      <c r="C38" s="87">
        <f>1-$C$31</f>
        <v>0.82499999999999996</v>
      </c>
      <c r="D38" s="85">
        <f>$B$31*($C$32-$C$31)+$D$37</f>
        <v>6980</v>
      </c>
    </row>
    <row r="39" spans="1:4" x14ac:dyDescent="0.2">
      <c r="A39" s="3" t="str">
        <f>CONCATENATE("Between $",$B$38," &amp;")</f>
        <v>Between $40580 &amp;</v>
      </c>
      <c r="B39" s="85">
        <f>$B$32-$D$32</f>
        <v>55980</v>
      </c>
      <c r="C39" s="87">
        <f>1-$C$32</f>
        <v>0.7</v>
      </c>
      <c r="D39" s="85">
        <f>$B$32*($C$33-$C$32)+$D$38</f>
        <v>9080.0000000000018</v>
      </c>
    </row>
    <row r="40" spans="1:4" x14ac:dyDescent="0.2">
      <c r="A40" s="3" t="str">
        <f>CONCATENATE("Above $",$B$39)</f>
        <v>Above $55980</v>
      </c>
      <c r="C40" s="87">
        <f>1-$C$33</f>
        <v>0.66999999999999993</v>
      </c>
    </row>
  </sheetData>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40"/>
  <sheetViews>
    <sheetView zoomScale="90" zoomScaleNormal="90" workbookViewId="0">
      <pane xSplit="5" ySplit="7" topLeftCell="H8" activePane="bottomRight" state="frozen"/>
      <selection pane="topRight" activeCell="F1" sqref="F1"/>
      <selection pane="bottomLeft" activeCell="A8" sqref="A8"/>
      <selection pane="bottomRight" activeCell="M84" sqref="M84"/>
    </sheetView>
  </sheetViews>
  <sheetFormatPr defaultColWidth="8.7109375" defaultRowHeight="12.75" x14ac:dyDescent="0.2"/>
  <cols>
    <col min="1" max="1" width="16.85546875" style="3" customWidth="1"/>
    <col min="2" max="4" width="8.7109375" style="3" customWidth="1"/>
    <col min="5" max="9" width="8.7109375" style="3"/>
    <col min="10" max="10" width="8.7109375" style="3" customWidth="1"/>
    <col min="11" max="16384" width="8.7109375" style="3"/>
  </cols>
  <sheetData>
    <row r="1" spans="1:19" ht="15.75" x14ac:dyDescent="0.25">
      <c r="A1" s="1" t="s">
        <v>219</v>
      </c>
    </row>
    <row r="2" spans="1:19" x14ac:dyDescent="0.2">
      <c r="A2" s="4" t="s">
        <v>165</v>
      </c>
      <c r="J2" s="4"/>
    </row>
    <row r="3" spans="1:19" ht="15" x14ac:dyDescent="0.25">
      <c r="A3" s="4" t="s">
        <v>220</v>
      </c>
      <c r="F3" s="6" t="s">
        <v>221</v>
      </c>
    </row>
    <row r="4" spans="1:19" ht="15" x14ac:dyDescent="0.25">
      <c r="A4" s="4" t="s">
        <v>222</v>
      </c>
      <c r="D4" s="6"/>
      <c r="F4" s="4"/>
    </row>
    <row r="5" spans="1:19" ht="15" x14ac:dyDescent="0.25">
      <c r="A5" s="4"/>
      <c r="D5" s="6"/>
      <c r="F5" s="4"/>
    </row>
    <row r="6" spans="1:19" x14ac:dyDescent="0.2">
      <c r="A6" s="2" t="s">
        <v>100</v>
      </c>
      <c r="E6" s="46"/>
      <c r="F6" s="46" t="s">
        <v>43</v>
      </c>
      <c r="G6" s="46" t="s">
        <v>44</v>
      </c>
      <c r="H6" s="46" t="s">
        <v>45</v>
      </c>
      <c r="I6" s="46" t="s">
        <v>46</v>
      </c>
      <c r="J6" s="46" t="s">
        <v>47</v>
      </c>
      <c r="K6" s="46" t="s">
        <v>48</v>
      </c>
      <c r="L6" s="46" t="s">
        <v>49</v>
      </c>
      <c r="M6" s="46" t="s">
        <v>50</v>
      </c>
      <c r="N6" s="46" t="s">
        <v>51</v>
      </c>
      <c r="O6" s="48" t="s">
        <v>52</v>
      </c>
      <c r="P6" s="48" t="s">
        <v>53</v>
      </c>
      <c r="Q6" s="48" t="s">
        <v>54</v>
      </c>
      <c r="R6" s="48" t="s">
        <v>55</v>
      </c>
      <c r="S6" s="48" t="s">
        <v>56</v>
      </c>
    </row>
    <row r="7" spans="1:19" x14ac:dyDescent="0.2">
      <c r="E7" s="47"/>
      <c r="F7" s="47">
        <v>2007</v>
      </c>
      <c r="G7" s="47">
        <v>2008</v>
      </c>
      <c r="H7" s="47">
        <v>2009</v>
      </c>
      <c r="I7" s="47">
        <v>2010</v>
      </c>
      <c r="J7" s="47">
        <v>2011</v>
      </c>
      <c r="K7" s="47">
        <v>2012</v>
      </c>
      <c r="L7" s="47">
        <v>2013</v>
      </c>
      <c r="M7" s="47">
        <v>2014</v>
      </c>
      <c r="N7" s="47">
        <v>2015</v>
      </c>
      <c r="O7" s="49">
        <v>2016</v>
      </c>
      <c r="P7" s="49">
        <v>2017</v>
      </c>
      <c r="Q7" s="49">
        <v>2018</v>
      </c>
      <c r="R7" s="49">
        <v>2019</v>
      </c>
      <c r="S7" s="49">
        <v>2020</v>
      </c>
    </row>
    <row r="8" spans="1:19" x14ac:dyDescent="0.2">
      <c r="A8" s="31" t="s">
        <v>218</v>
      </c>
      <c r="D8" s="32"/>
      <c r="E8" s="21"/>
      <c r="F8" s="21"/>
      <c r="G8" s="21"/>
      <c r="H8" s="21"/>
      <c r="I8" s="21"/>
      <c r="J8" s="21"/>
      <c r="K8" s="21"/>
      <c r="L8" s="21"/>
      <c r="M8" s="21"/>
      <c r="N8" s="21"/>
      <c r="O8" s="24"/>
      <c r="P8" s="24"/>
      <c r="Q8" s="24"/>
      <c r="R8" s="24"/>
      <c r="S8" s="24"/>
    </row>
    <row r="9" spans="1:19" x14ac:dyDescent="0.2">
      <c r="A9" s="32" t="s">
        <v>223</v>
      </c>
      <c r="D9" s="32"/>
      <c r="E9" s="21"/>
      <c r="F9" s="21">
        <v>53.064</v>
      </c>
      <c r="G9" s="21">
        <v>56.372</v>
      </c>
      <c r="H9" s="21">
        <v>54.145000000000003</v>
      </c>
      <c r="I9" s="21">
        <v>50.347000000000001</v>
      </c>
      <c r="J9" s="21">
        <v>51.128</v>
      </c>
      <c r="K9" s="21">
        <v>54.664999999999999</v>
      </c>
      <c r="L9" s="21">
        <v>58.134</v>
      </c>
      <c r="M9" s="21">
        <v>60.968000000000004</v>
      </c>
      <c r="N9" s="21">
        <v>66.055000000000007</v>
      </c>
      <c r="O9" s="24">
        <v>67.647999999999996</v>
      </c>
      <c r="P9" s="24">
        <v>70.225999999999999</v>
      </c>
      <c r="Q9" s="24">
        <v>74.350999999999999</v>
      </c>
      <c r="R9" s="24">
        <v>79.134</v>
      </c>
      <c r="S9" s="24">
        <v>83.141000000000005</v>
      </c>
    </row>
    <row r="10" spans="1:19" x14ac:dyDescent="0.2">
      <c r="A10" s="32" t="s">
        <v>224</v>
      </c>
      <c r="D10" s="32"/>
      <c r="E10" s="34"/>
      <c r="F10" s="21">
        <v>3.496</v>
      </c>
      <c r="G10" s="21">
        <v>3.879</v>
      </c>
      <c r="H10" s="21">
        <v>4.1180000000000003</v>
      </c>
      <c r="I10" s="21">
        <v>4.6820000000000004</v>
      </c>
      <c r="J10" s="21">
        <v>5.2809999999999997</v>
      </c>
      <c r="K10" s="21">
        <v>5.13</v>
      </c>
      <c r="L10" s="21">
        <v>5.1719999999999997</v>
      </c>
      <c r="M10" s="21">
        <v>5.1340000000000003</v>
      </c>
      <c r="N10" s="21">
        <v>4.9530000000000003</v>
      </c>
      <c r="O10" s="24">
        <v>4.4589999999999996</v>
      </c>
      <c r="P10" s="24">
        <v>4.4109999999999996</v>
      </c>
      <c r="Q10" s="24">
        <v>4.5460000000000003</v>
      </c>
      <c r="R10" s="24">
        <v>4.7190000000000003</v>
      </c>
      <c r="S10" s="24">
        <v>4.8789999999999996</v>
      </c>
    </row>
    <row r="11" spans="1:19" x14ac:dyDescent="0.2">
      <c r="A11" s="32" t="s">
        <v>225</v>
      </c>
      <c r="C11" s="2"/>
      <c r="D11" s="32"/>
      <c r="E11" s="34"/>
      <c r="F11" s="21">
        <v>12.613</v>
      </c>
      <c r="G11" s="21">
        <v>15.398999999999999</v>
      </c>
      <c r="H11" s="21">
        <v>15.356</v>
      </c>
      <c r="I11" s="21">
        <v>14.331</v>
      </c>
      <c r="J11" s="21">
        <v>15.084</v>
      </c>
      <c r="K11" s="21">
        <v>16.785</v>
      </c>
      <c r="L11" s="21">
        <v>16.713000000000001</v>
      </c>
      <c r="M11" s="21">
        <v>16.472000000000001</v>
      </c>
      <c r="N11" s="21">
        <v>16.866</v>
      </c>
      <c r="O11" s="24">
        <v>17.039000000000001</v>
      </c>
      <c r="P11" s="24">
        <v>17.57</v>
      </c>
      <c r="Q11" s="24">
        <v>18.28</v>
      </c>
      <c r="R11" s="24">
        <v>18.5</v>
      </c>
      <c r="S11" s="24">
        <v>18.84</v>
      </c>
    </row>
    <row r="12" spans="1:19" x14ac:dyDescent="0.2">
      <c r="A12" s="32" t="s">
        <v>226</v>
      </c>
      <c r="D12" s="32"/>
      <c r="E12" s="34"/>
      <c r="F12" s="21">
        <v>2.9950000000000001</v>
      </c>
      <c r="G12" s="21">
        <v>3.214</v>
      </c>
      <c r="H12" s="21">
        <v>2.9969999999999999</v>
      </c>
      <c r="I12" s="21">
        <v>2.3149999999999999</v>
      </c>
      <c r="J12" s="21">
        <v>2.57</v>
      </c>
      <c r="K12" s="21">
        <v>2.7629999999999999</v>
      </c>
      <c r="L12" s="21">
        <v>2.9390000000000001</v>
      </c>
      <c r="M12" s="21">
        <v>3.2050000000000001</v>
      </c>
      <c r="N12" s="21">
        <v>3.524</v>
      </c>
      <c r="O12" s="24">
        <v>4.0670000000000002</v>
      </c>
      <c r="P12" s="24">
        <v>4.2629999999999999</v>
      </c>
      <c r="Q12" s="24">
        <v>4.6109999999999998</v>
      </c>
      <c r="R12" s="24">
        <v>4.9939999999999998</v>
      </c>
      <c r="S12" s="24">
        <v>5.3010000000000002</v>
      </c>
    </row>
    <row r="13" spans="1:19" x14ac:dyDescent="0.2">
      <c r="A13" s="32" t="s">
        <v>227</v>
      </c>
      <c r="D13" s="32"/>
      <c r="E13" s="38"/>
      <c r="F13" s="21">
        <v>2.4209999999999998</v>
      </c>
      <c r="G13" s="21">
        <v>2.6150000000000002</v>
      </c>
      <c r="H13" s="21">
        <v>2.89</v>
      </c>
      <c r="I13" s="21">
        <v>3.05</v>
      </c>
      <c r="J13" s="21">
        <v>7.5</v>
      </c>
      <c r="K13" s="21">
        <v>4.1399999999999997</v>
      </c>
      <c r="L13" s="21">
        <v>3.6970000000000001</v>
      </c>
      <c r="M13" s="21">
        <v>3.42</v>
      </c>
      <c r="N13" s="21">
        <v>3.6150000000000002</v>
      </c>
      <c r="O13" s="24">
        <v>3.5920000000000001</v>
      </c>
      <c r="P13" s="24">
        <v>3.6989999999999998</v>
      </c>
      <c r="Q13" s="24">
        <v>3.7519999999999998</v>
      </c>
      <c r="R13" s="24">
        <v>3.798</v>
      </c>
      <c r="S13" s="24">
        <v>3.8420000000000001</v>
      </c>
    </row>
    <row r="14" spans="1:19" x14ac:dyDescent="0.2">
      <c r="A14" s="31" t="s">
        <v>228</v>
      </c>
      <c r="D14" s="32"/>
      <c r="E14" s="40"/>
      <c r="F14" s="54">
        <f>SUM(F$9:F$13)</f>
        <v>74.589000000000013</v>
      </c>
      <c r="G14" s="54">
        <f t="shared" ref="G14:S14" si="0">SUM(G$9:G$13)</f>
        <v>81.478999999999985</v>
      </c>
      <c r="H14" s="54">
        <f t="shared" si="0"/>
        <v>79.506</v>
      </c>
      <c r="I14" s="54">
        <f t="shared" si="0"/>
        <v>74.724999999999994</v>
      </c>
      <c r="J14" s="54">
        <f t="shared" si="0"/>
        <v>81.562999999999988</v>
      </c>
      <c r="K14" s="54">
        <f t="shared" si="0"/>
        <v>83.483000000000004</v>
      </c>
      <c r="L14" s="54">
        <f t="shared" si="0"/>
        <v>86.655000000000001</v>
      </c>
      <c r="M14" s="54">
        <f t="shared" si="0"/>
        <v>89.199000000000012</v>
      </c>
      <c r="N14" s="54">
        <f t="shared" si="0"/>
        <v>95.013000000000005</v>
      </c>
      <c r="O14" s="54">
        <f t="shared" si="0"/>
        <v>96.804999999999993</v>
      </c>
      <c r="P14" s="54">
        <f t="shared" si="0"/>
        <v>100.169</v>
      </c>
      <c r="Q14" s="54">
        <f t="shared" si="0"/>
        <v>105.54</v>
      </c>
      <c r="R14" s="54">
        <f t="shared" si="0"/>
        <v>111.145</v>
      </c>
      <c r="S14" s="54">
        <f t="shared" si="0"/>
        <v>116.00300000000001</v>
      </c>
    </row>
    <row r="15" spans="1:19" x14ac:dyDescent="0.2">
      <c r="A15" s="32" t="s">
        <v>229</v>
      </c>
      <c r="D15" s="32"/>
      <c r="E15" s="40"/>
      <c r="F15" s="21">
        <v>16.346</v>
      </c>
      <c r="G15" s="21">
        <v>18.373999999999999</v>
      </c>
      <c r="H15" s="21">
        <v>19.962</v>
      </c>
      <c r="I15" s="21">
        <v>21.213000000000001</v>
      </c>
      <c r="J15" s="21">
        <v>22.172000000000001</v>
      </c>
      <c r="K15" s="21">
        <v>22.353999999999999</v>
      </c>
      <c r="L15" s="21">
        <v>22.707999999999998</v>
      </c>
      <c r="M15" s="21">
        <v>23.36</v>
      </c>
      <c r="N15" s="21">
        <v>23.722999999999999</v>
      </c>
      <c r="O15" s="24">
        <v>24.484999999999999</v>
      </c>
      <c r="P15" s="24">
        <v>25.565999999999999</v>
      </c>
      <c r="Q15" s="24">
        <v>26.44</v>
      </c>
      <c r="R15" s="24">
        <v>27.202999999999999</v>
      </c>
      <c r="S15" s="24">
        <v>28.353000000000002</v>
      </c>
    </row>
    <row r="16" spans="1:19" x14ac:dyDescent="0.2">
      <c r="A16" s="32" t="s">
        <v>230</v>
      </c>
      <c r="D16" s="32"/>
      <c r="E16" s="38"/>
      <c r="F16" s="21">
        <v>15.284000000000001</v>
      </c>
      <c r="G16" s="21">
        <v>16.478000000000002</v>
      </c>
      <c r="H16" s="21">
        <v>18.064</v>
      </c>
      <c r="I16" s="21">
        <v>18.477</v>
      </c>
      <c r="J16" s="21">
        <v>19.088000000000001</v>
      </c>
      <c r="K16" s="21">
        <v>19.475000000000001</v>
      </c>
      <c r="L16" s="21">
        <v>19.934999999999999</v>
      </c>
      <c r="M16" s="21">
        <v>20.484000000000002</v>
      </c>
      <c r="N16" s="21">
        <v>21.123999999999999</v>
      </c>
      <c r="O16" s="24">
        <v>21.849</v>
      </c>
      <c r="P16" s="24">
        <v>21.783999999999999</v>
      </c>
      <c r="Q16" s="24">
        <v>21.93</v>
      </c>
      <c r="R16" s="24">
        <v>22.065999999999999</v>
      </c>
      <c r="S16" s="24">
        <v>22.305</v>
      </c>
    </row>
    <row r="17" spans="1:19" x14ac:dyDescent="0.2">
      <c r="A17" s="32" t="s">
        <v>231</v>
      </c>
      <c r="D17" s="32"/>
      <c r="E17" s="37"/>
      <c r="F17" s="21">
        <v>3.3969999999999998</v>
      </c>
      <c r="G17" s="21">
        <v>3.67</v>
      </c>
      <c r="H17" s="21">
        <v>4.3049999999999997</v>
      </c>
      <c r="I17" s="21">
        <v>4.2290000000000001</v>
      </c>
      <c r="J17" s="21">
        <v>4.6820000000000004</v>
      </c>
      <c r="K17" s="21">
        <v>6.35</v>
      </c>
      <c r="L17" s="21">
        <v>4.8120000000000003</v>
      </c>
      <c r="M17" s="21">
        <v>4.8719999999999999</v>
      </c>
      <c r="N17" s="21">
        <v>4.8419999999999996</v>
      </c>
      <c r="O17" s="24">
        <v>4.9359999999999999</v>
      </c>
      <c r="P17" s="24">
        <v>5.1130000000000004</v>
      </c>
      <c r="Q17" s="24">
        <v>5.3070000000000004</v>
      </c>
      <c r="R17" s="24">
        <v>5.4429999999999996</v>
      </c>
      <c r="S17" s="24">
        <v>5.51</v>
      </c>
    </row>
    <row r="18" spans="1:19" x14ac:dyDescent="0.2">
      <c r="A18" s="32" t="s">
        <v>232</v>
      </c>
      <c r="D18" s="32"/>
      <c r="E18" s="38"/>
      <c r="F18" s="21">
        <v>27.841999999999999</v>
      </c>
      <c r="G18" s="21">
        <v>30.655999999999999</v>
      </c>
      <c r="H18" s="21">
        <v>34.116</v>
      </c>
      <c r="I18" s="21">
        <v>31.338000000000001</v>
      </c>
      <c r="J18" s="21">
        <v>35.829000000000001</v>
      </c>
      <c r="K18" s="21">
        <v>35.677999999999997</v>
      </c>
      <c r="L18" s="21">
        <v>36.162999999999997</v>
      </c>
      <c r="M18" s="21">
        <v>35.225000000000001</v>
      </c>
      <c r="N18" s="21">
        <v>35.909999999999997</v>
      </c>
      <c r="O18" s="24">
        <v>37.787999999999997</v>
      </c>
      <c r="P18" s="24">
        <v>37.369999999999997</v>
      </c>
      <c r="Q18" s="24">
        <v>37.685000000000002</v>
      </c>
      <c r="R18" s="24">
        <v>37.485999999999997</v>
      </c>
      <c r="S18" s="24">
        <v>37.488999999999997</v>
      </c>
    </row>
    <row r="19" spans="1:19" x14ac:dyDescent="0.2">
      <c r="A19" s="32" t="s">
        <v>233</v>
      </c>
      <c r="D19" s="32"/>
      <c r="E19" s="38"/>
      <c r="F19" s="21">
        <v>2.8849999999999998</v>
      </c>
      <c r="G19" s="21">
        <v>3.101</v>
      </c>
      <c r="H19" s="21">
        <v>3.07</v>
      </c>
      <c r="I19" s="21">
        <v>2.7770000000000001</v>
      </c>
      <c r="J19" s="21">
        <v>3.5960000000000001</v>
      </c>
      <c r="K19" s="21">
        <v>4.29</v>
      </c>
      <c r="L19" s="21">
        <v>4.3579999999999997</v>
      </c>
      <c r="M19" s="21">
        <v>4.4000000000000004</v>
      </c>
      <c r="N19" s="21">
        <v>4.5629999999999997</v>
      </c>
      <c r="O19" s="24">
        <v>4.4210000000000003</v>
      </c>
      <c r="P19" s="24">
        <v>4.83</v>
      </c>
      <c r="Q19" s="24">
        <v>5.077</v>
      </c>
      <c r="R19" s="24">
        <v>5.26</v>
      </c>
      <c r="S19" s="24">
        <v>5.4080000000000004</v>
      </c>
    </row>
    <row r="20" spans="1:19" x14ac:dyDescent="0.2">
      <c r="A20" s="32" t="s">
        <v>234</v>
      </c>
      <c r="D20" s="32"/>
      <c r="E20" s="40"/>
      <c r="F20" s="21">
        <v>2.9750000000000001</v>
      </c>
      <c r="G20" s="21">
        <v>3.5630000000000002</v>
      </c>
      <c r="H20" s="21">
        <v>3.8820000000000001</v>
      </c>
      <c r="I20" s="21">
        <v>3.0059999999999998</v>
      </c>
      <c r="J20" s="21">
        <v>14.592000000000001</v>
      </c>
      <c r="K20" s="21">
        <v>4.5759999999999996</v>
      </c>
      <c r="L20" s="21">
        <v>3.0310000000000001</v>
      </c>
      <c r="M20" s="21">
        <v>3.5009999999999999</v>
      </c>
      <c r="N20" s="21">
        <v>4.1100000000000003</v>
      </c>
      <c r="O20" s="24">
        <v>3.9969999999999999</v>
      </c>
      <c r="P20" s="24">
        <v>4.1120000000000001</v>
      </c>
      <c r="Q20" s="24">
        <v>4.4050000000000002</v>
      </c>
      <c r="R20" s="24">
        <v>4.7510000000000003</v>
      </c>
      <c r="S20" s="24">
        <v>4.9660000000000002</v>
      </c>
    </row>
    <row r="21" spans="1:19" x14ac:dyDescent="0.2">
      <c r="A21" s="3" t="s">
        <v>235</v>
      </c>
      <c r="D21" s="32"/>
      <c r="F21" s="21">
        <v>0</v>
      </c>
      <c r="G21" s="21">
        <v>0</v>
      </c>
      <c r="H21" s="21">
        <v>0</v>
      </c>
      <c r="I21" s="21">
        <v>0</v>
      </c>
      <c r="J21" s="21">
        <v>0</v>
      </c>
      <c r="K21" s="21">
        <v>0</v>
      </c>
      <c r="L21" s="21">
        <v>0</v>
      </c>
      <c r="M21" s="21">
        <v>0</v>
      </c>
      <c r="N21" s="21">
        <v>0</v>
      </c>
      <c r="O21" s="24">
        <v>0.27100000000000002</v>
      </c>
      <c r="P21" s="24">
        <v>1.123</v>
      </c>
      <c r="Q21" s="24">
        <v>3.681</v>
      </c>
      <c r="R21" s="24">
        <v>5.3650000000000002</v>
      </c>
      <c r="S21" s="24">
        <v>6.9359999999999999</v>
      </c>
    </row>
    <row r="22" spans="1:19" x14ac:dyDescent="0.2">
      <c r="A22" s="3" t="s">
        <v>236</v>
      </c>
      <c r="D22" s="32"/>
      <c r="F22" s="21">
        <v>0</v>
      </c>
      <c r="G22" s="21">
        <v>0</v>
      </c>
      <c r="H22" s="21">
        <v>0</v>
      </c>
      <c r="I22" s="21">
        <v>0</v>
      </c>
      <c r="J22" s="21">
        <v>0</v>
      </c>
      <c r="K22" s="21">
        <v>0</v>
      </c>
      <c r="L22" s="21">
        <v>0</v>
      </c>
      <c r="M22" s="21">
        <v>0</v>
      </c>
      <c r="N22" s="21">
        <v>0</v>
      </c>
      <c r="O22" s="24">
        <v>-1.0249999999999999</v>
      </c>
      <c r="P22" s="24">
        <v>-0.6</v>
      </c>
      <c r="Q22" s="24">
        <v>-0.47499999999999998</v>
      </c>
      <c r="R22" s="24">
        <v>-0.45</v>
      </c>
      <c r="S22" s="24">
        <v>-0.5</v>
      </c>
    </row>
    <row r="23" spans="1:19" x14ac:dyDescent="0.2">
      <c r="A23" s="31" t="s">
        <v>237</v>
      </c>
      <c r="D23" s="32"/>
      <c r="E23" s="40"/>
      <c r="F23" s="54">
        <f>SUM(F$15:F$22)</f>
        <v>68.728999999999999</v>
      </c>
      <c r="G23" s="54">
        <f t="shared" ref="G23:S23" si="1">SUM(G$15:G$22)</f>
        <v>75.841999999999999</v>
      </c>
      <c r="H23" s="54">
        <f t="shared" si="1"/>
        <v>83.399000000000001</v>
      </c>
      <c r="I23" s="54">
        <f t="shared" si="1"/>
        <v>81.040000000000006</v>
      </c>
      <c r="J23" s="54">
        <f t="shared" si="1"/>
        <v>99.959000000000017</v>
      </c>
      <c r="K23" s="54">
        <f t="shared" si="1"/>
        <v>92.722999999999999</v>
      </c>
      <c r="L23" s="54">
        <f t="shared" si="1"/>
        <v>91.007000000000005</v>
      </c>
      <c r="M23" s="54">
        <f t="shared" si="1"/>
        <v>91.842000000000013</v>
      </c>
      <c r="N23" s="54">
        <f t="shared" si="1"/>
        <v>94.271999999999991</v>
      </c>
      <c r="O23" s="54">
        <f t="shared" si="1"/>
        <v>96.721999999999994</v>
      </c>
      <c r="P23" s="54">
        <f t="shared" si="1"/>
        <v>99.298000000000002</v>
      </c>
      <c r="Q23" s="54">
        <f t="shared" si="1"/>
        <v>104.05000000000001</v>
      </c>
      <c r="R23" s="54">
        <f t="shared" si="1"/>
        <v>107.124</v>
      </c>
      <c r="S23" s="54">
        <f t="shared" si="1"/>
        <v>110.46699999999998</v>
      </c>
    </row>
    <row r="24" spans="1:19" x14ac:dyDescent="0.2">
      <c r="A24" s="3" t="s">
        <v>238</v>
      </c>
      <c r="D24" s="32"/>
      <c r="E24" s="40"/>
      <c r="F24" s="21">
        <v>0</v>
      </c>
      <c r="G24" s="21">
        <v>0</v>
      </c>
      <c r="H24" s="21">
        <v>0</v>
      </c>
      <c r="I24" s="21">
        <v>0</v>
      </c>
      <c r="J24" s="21">
        <v>0</v>
      </c>
      <c r="K24" s="21">
        <v>0</v>
      </c>
      <c r="L24" s="21">
        <v>-6.2E-2</v>
      </c>
      <c r="M24" s="21">
        <v>-0.159</v>
      </c>
      <c r="N24" s="21">
        <v>-0.32700000000000001</v>
      </c>
      <c r="O24" s="24">
        <v>-0.48399999999999999</v>
      </c>
      <c r="P24" s="24">
        <v>-0.51500000000000001</v>
      </c>
      <c r="Q24" s="24">
        <v>-0.53300000000000003</v>
      </c>
      <c r="R24" s="24">
        <v>-0.53600000000000003</v>
      </c>
      <c r="S24" s="24">
        <v>-0.59099999999999997</v>
      </c>
    </row>
    <row r="25" spans="1:19" x14ac:dyDescent="0.2">
      <c r="A25" s="31" t="s">
        <v>239</v>
      </c>
      <c r="D25" s="32"/>
      <c r="E25" s="40"/>
      <c r="F25" s="54">
        <f>SUM(F$14,-F$23,F$24)</f>
        <v>5.8600000000000136</v>
      </c>
      <c r="G25" s="54">
        <f t="shared" ref="G25:S25" si="2">SUM(G$14,-G$23,G$24)</f>
        <v>5.6369999999999862</v>
      </c>
      <c r="H25" s="54">
        <f t="shared" si="2"/>
        <v>-3.8930000000000007</v>
      </c>
      <c r="I25" s="54">
        <f t="shared" si="2"/>
        <v>-6.3150000000000119</v>
      </c>
      <c r="J25" s="54">
        <f t="shared" si="2"/>
        <v>-18.396000000000029</v>
      </c>
      <c r="K25" s="54">
        <f t="shared" si="2"/>
        <v>-9.2399999999999949</v>
      </c>
      <c r="L25" s="54">
        <f t="shared" si="2"/>
        <v>-4.4140000000000041</v>
      </c>
      <c r="M25" s="54">
        <f t="shared" si="2"/>
        <v>-2.8020000000000005</v>
      </c>
      <c r="N25" s="54">
        <f t="shared" si="2"/>
        <v>0.41400000000001386</v>
      </c>
      <c r="O25" s="54">
        <f t="shared" si="2"/>
        <v>-0.40100000000000158</v>
      </c>
      <c r="P25" s="54">
        <f t="shared" si="2"/>
        <v>0.3559999999999951</v>
      </c>
      <c r="Q25" s="54">
        <f t="shared" si="2"/>
        <v>0.95699999999999485</v>
      </c>
      <c r="R25" s="54">
        <f t="shared" si="2"/>
        <v>3.4850000000000008</v>
      </c>
      <c r="S25" s="54">
        <f t="shared" si="2"/>
        <v>4.9450000000000296</v>
      </c>
    </row>
    <row r="26" spans="1:19" x14ac:dyDescent="0.2">
      <c r="A26" s="32" t="s">
        <v>240</v>
      </c>
      <c r="D26" s="32"/>
      <c r="E26" s="21"/>
      <c r="F26" s="21">
        <v>1.5649999999999999</v>
      </c>
      <c r="G26" s="21">
        <v>-0.61699999999999999</v>
      </c>
      <c r="H26" s="21">
        <v>-2.6339999999999999</v>
      </c>
      <c r="I26" s="21">
        <v>2.5219999999999998</v>
      </c>
      <c r="J26" s="21">
        <v>4.6189999999999998</v>
      </c>
      <c r="K26" s="21">
        <v>0.69199999999999995</v>
      </c>
      <c r="L26" s="21">
        <v>7.27</v>
      </c>
      <c r="M26" s="21">
        <v>4.82</v>
      </c>
      <c r="N26" s="21">
        <v>6.1959999999999997</v>
      </c>
      <c r="O26" s="24">
        <v>0.57599999999999996</v>
      </c>
      <c r="P26" s="24">
        <v>2.194</v>
      </c>
      <c r="Q26" s="24">
        <v>2.2970000000000002</v>
      </c>
      <c r="R26" s="24">
        <v>2.4780000000000002</v>
      </c>
      <c r="S26" s="24">
        <v>2.6720000000000002</v>
      </c>
    </row>
    <row r="27" spans="1:19" x14ac:dyDescent="0.2">
      <c r="A27" s="32" t="s">
        <v>241</v>
      </c>
      <c r="F27" s="21">
        <v>0.48599999999999999</v>
      </c>
      <c r="G27" s="21">
        <v>-2.9249999999999998</v>
      </c>
      <c r="H27" s="21">
        <v>-4.165</v>
      </c>
      <c r="I27" s="21">
        <v>-0.96</v>
      </c>
      <c r="J27" s="21">
        <v>7.9000000000000001E-2</v>
      </c>
      <c r="K27" s="21">
        <v>-6.5259999999999998</v>
      </c>
      <c r="L27" s="21">
        <v>3.706</v>
      </c>
      <c r="M27" s="21">
        <v>0.54</v>
      </c>
      <c r="N27" s="21">
        <v>-1.649</v>
      </c>
      <c r="O27" s="24">
        <v>-0.10100000000000001</v>
      </c>
      <c r="P27" s="24">
        <v>-9.2999999999999999E-2</v>
      </c>
      <c r="Q27" s="24">
        <v>-0.12</v>
      </c>
      <c r="R27" s="24">
        <v>-6.4000000000000001E-2</v>
      </c>
      <c r="S27" s="24">
        <v>-0.10199999999999999</v>
      </c>
    </row>
    <row r="28" spans="1:19" x14ac:dyDescent="0.2">
      <c r="A28" s="32" t="s">
        <v>592</v>
      </c>
      <c r="F28" s="21">
        <v>1.2E-2</v>
      </c>
      <c r="G28" s="21">
        <v>-6.7000000000000004E-2</v>
      </c>
      <c r="H28" s="21">
        <v>-2.5000000000000001E-2</v>
      </c>
      <c r="I28" s="21">
        <v>1.7000000000000001E-2</v>
      </c>
      <c r="J28" s="21">
        <v>0.10100000000000001</v>
      </c>
      <c r="K28" s="21">
        <v>-5.6000000000000001E-2</v>
      </c>
      <c r="L28" s="21">
        <v>-3.2000000000000001E-2</v>
      </c>
      <c r="M28" s="21">
        <v>2.1000000000000001E-2</v>
      </c>
      <c r="N28" s="21">
        <v>-0.218</v>
      </c>
      <c r="O28" s="24">
        <v>-4.2000000000000003E-2</v>
      </c>
      <c r="P28" s="24">
        <v>-1.0999999999999999E-2</v>
      </c>
      <c r="Q28" s="24">
        <v>-0.01</v>
      </c>
      <c r="R28" s="24">
        <v>-2E-3</v>
      </c>
      <c r="S28" s="24">
        <v>-6.0000000000000001E-3</v>
      </c>
    </row>
    <row r="29" spans="1:19" x14ac:dyDescent="0.2">
      <c r="A29" s="31" t="s">
        <v>242</v>
      </c>
      <c r="F29" s="54">
        <f t="shared" ref="F29:L29" si="3">SUM(F$26:F$28)</f>
        <v>2.0630000000000002</v>
      </c>
      <c r="G29" s="54">
        <f t="shared" si="3"/>
        <v>-3.609</v>
      </c>
      <c r="H29" s="54">
        <f t="shared" si="3"/>
        <v>-6.8239999999999998</v>
      </c>
      <c r="I29" s="54">
        <f t="shared" si="3"/>
        <v>1.5789999999999997</v>
      </c>
      <c r="J29" s="54">
        <f t="shared" si="3"/>
        <v>4.7989999999999995</v>
      </c>
      <c r="K29" s="54">
        <f t="shared" si="3"/>
        <v>-5.89</v>
      </c>
      <c r="L29" s="54">
        <f t="shared" si="3"/>
        <v>10.943999999999999</v>
      </c>
      <c r="M29" s="54">
        <f>SUM(M$26:M$28)</f>
        <v>5.3810000000000002</v>
      </c>
      <c r="N29" s="54">
        <f t="shared" ref="N29:S29" si="4">SUM(N$26:N$28)</f>
        <v>4.3289999999999997</v>
      </c>
      <c r="O29" s="54">
        <f t="shared" si="4"/>
        <v>0.433</v>
      </c>
      <c r="P29" s="54">
        <f t="shared" si="4"/>
        <v>2.09</v>
      </c>
      <c r="Q29" s="54">
        <f t="shared" si="4"/>
        <v>2.1670000000000003</v>
      </c>
      <c r="R29" s="54">
        <f t="shared" si="4"/>
        <v>2.4120000000000004</v>
      </c>
      <c r="S29" s="54">
        <f t="shared" si="4"/>
        <v>2.5640000000000005</v>
      </c>
    </row>
    <row r="30" spans="1:19" x14ac:dyDescent="0.2">
      <c r="A30" s="3" t="s">
        <v>243</v>
      </c>
      <c r="F30" s="21">
        <f>0.191-0.092</f>
        <v>9.9000000000000005E-2</v>
      </c>
      <c r="G30" s="21">
        <f>0.334+0.022</f>
        <v>0.35600000000000004</v>
      </c>
      <c r="H30" s="21">
        <v>0.21199999999999999</v>
      </c>
      <c r="I30" s="21">
        <v>0.22700000000000001</v>
      </c>
      <c r="J30" s="21">
        <v>0.23699999999999999</v>
      </c>
      <c r="K30" s="21">
        <v>0.23300000000000001</v>
      </c>
      <c r="L30" s="21">
        <v>0.39500000000000002</v>
      </c>
      <c r="M30" s="21">
        <v>0.36</v>
      </c>
      <c r="N30" s="21">
        <v>1.028</v>
      </c>
      <c r="O30" s="24">
        <v>0.26600000000000001</v>
      </c>
      <c r="P30" s="24">
        <v>0.27900000000000003</v>
      </c>
      <c r="Q30" s="24">
        <v>0.27900000000000003</v>
      </c>
      <c r="R30" s="24">
        <v>0.28100000000000003</v>
      </c>
      <c r="S30" s="24">
        <v>0.28299999999999997</v>
      </c>
    </row>
    <row r="31" spans="1:19" x14ac:dyDescent="0.2">
      <c r="A31" s="31" t="s">
        <v>895</v>
      </c>
      <c r="F31" s="23">
        <v>8.0220000000000002</v>
      </c>
      <c r="G31" s="23">
        <v>2.3839999999999999</v>
      </c>
      <c r="H31" s="23">
        <v>-10.505000000000001</v>
      </c>
      <c r="I31" s="23">
        <v>-4.5090000000000003</v>
      </c>
      <c r="J31" s="23">
        <v>-13.36</v>
      </c>
      <c r="K31" s="23">
        <v>-14.897</v>
      </c>
      <c r="L31" s="23">
        <v>6.9249999999999998</v>
      </c>
      <c r="M31" s="23">
        <v>2.9390000000000001</v>
      </c>
      <c r="N31" s="23">
        <v>5.7709999999999999</v>
      </c>
      <c r="O31" s="25">
        <v>0.29799999999999999</v>
      </c>
      <c r="P31" s="25">
        <v>2.7250000000000001</v>
      </c>
      <c r="Q31" s="25">
        <v>3.403</v>
      </c>
      <c r="R31" s="25">
        <v>6.1779999999999999</v>
      </c>
      <c r="S31" s="25">
        <v>7.7919999999999998</v>
      </c>
    </row>
    <row r="32" spans="1:19" x14ac:dyDescent="0.2">
      <c r="A32" s="31" t="s">
        <v>897</v>
      </c>
      <c r="F32" s="23">
        <v>8.01</v>
      </c>
      <c r="G32" s="23">
        <v>2.4510000000000001</v>
      </c>
      <c r="H32" s="23">
        <v>-10.48</v>
      </c>
      <c r="I32" s="23">
        <v>-4.525999999999998</v>
      </c>
      <c r="J32" s="23">
        <v>-13.461000000000015</v>
      </c>
      <c r="K32" s="23">
        <v>-14.841000000000008</v>
      </c>
      <c r="L32" s="23">
        <v>7.0189999999999966</v>
      </c>
      <c r="M32" s="23">
        <v>3.077</v>
      </c>
      <c r="N32" s="23">
        <v>6.3159999999999998</v>
      </c>
      <c r="O32" s="25">
        <v>0.82399999999999995</v>
      </c>
      <c r="P32" s="25">
        <v>3.2509999999999999</v>
      </c>
      <c r="Q32" s="25">
        <v>3.9460000000000002</v>
      </c>
      <c r="R32" s="25">
        <v>6.7160000000000002</v>
      </c>
      <c r="S32" s="25">
        <v>8.3889999999999993</v>
      </c>
    </row>
    <row r="33" spans="1:19" x14ac:dyDescent="0.2">
      <c r="A33" s="2" t="s">
        <v>300</v>
      </c>
      <c r="F33" s="7" t="str">
        <f t="shared" ref="F33:S33" si="5">IF(ROUND(F$31-SUM(F$25,F$29,F$30),3)=0,"OK","ERROR")</f>
        <v>OK</v>
      </c>
      <c r="G33" s="7" t="str">
        <f t="shared" si="5"/>
        <v>OK</v>
      </c>
      <c r="H33" s="7" t="str">
        <f t="shared" si="5"/>
        <v>OK</v>
      </c>
      <c r="I33" s="7" t="str">
        <f t="shared" si="5"/>
        <v>OK</v>
      </c>
      <c r="J33" s="7" t="str">
        <f t="shared" si="5"/>
        <v>OK</v>
      </c>
      <c r="K33" s="7" t="str">
        <f t="shared" si="5"/>
        <v>OK</v>
      </c>
      <c r="L33" s="7" t="str">
        <f t="shared" si="5"/>
        <v>OK</v>
      </c>
      <c r="M33" s="7" t="str">
        <f t="shared" si="5"/>
        <v>OK</v>
      </c>
      <c r="N33" s="7" t="str">
        <f t="shared" si="5"/>
        <v>OK</v>
      </c>
      <c r="O33" s="7" t="str">
        <f t="shared" si="5"/>
        <v>OK</v>
      </c>
      <c r="P33" s="7" t="str">
        <f t="shared" si="5"/>
        <v>OK</v>
      </c>
      <c r="Q33" s="7" t="str">
        <f t="shared" si="5"/>
        <v>OK</v>
      </c>
      <c r="R33" s="7" t="str">
        <f t="shared" si="5"/>
        <v>OK</v>
      </c>
      <c r="S33" s="7" t="str">
        <f t="shared" si="5"/>
        <v>OK</v>
      </c>
    </row>
    <row r="34" spans="1:19" x14ac:dyDescent="0.2">
      <c r="A34" s="31" t="s">
        <v>244</v>
      </c>
    </row>
    <row r="35" spans="1:19" x14ac:dyDescent="0.2">
      <c r="A35" s="3" t="s">
        <v>245</v>
      </c>
      <c r="F35" s="21">
        <v>19.829000000000001</v>
      </c>
      <c r="G35" s="21">
        <v>21.509</v>
      </c>
      <c r="H35" s="21">
        <v>23.273</v>
      </c>
      <c r="I35" s="21">
        <v>24.206</v>
      </c>
      <c r="J35" s="21">
        <v>25.324000000000002</v>
      </c>
      <c r="K35" s="21">
        <v>25.457000000000001</v>
      </c>
      <c r="L35" s="21">
        <v>26.268000000000001</v>
      </c>
      <c r="M35" s="21">
        <v>27.010999999999999</v>
      </c>
      <c r="N35" s="21">
        <v>28.231000000000002</v>
      </c>
      <c r="O35" s="24">
        <v>28.928000000000001</v>
      </c>
      <c r="P35" s="24">
        <v>29.959</v>
      </c>
      <c r="Q35" s="24">
        <v>30.92</v>
      </c>
      <c r="R35" s="24">
        <v>31.968</v>
      </c>
      <c r="S35" s="24">
        <v>33.323</v>
      </c>
    </row>
    <row r="36" spans="1:19" x14ac:dyDescent="0.2">
      <c r="A36" s="3" t="s">
        <v>588</v>
      </c>
      <c r="F36" s="21">
        <v>0.64500000000000002</v>
      </c>
      <c r="G36" s="21">
        <v>0.69</v>
      </c>
      <c r="H36" s="21">
        <v>0.65500000000000003</v>
      </c>
      <c r="I36" s="21">
        <v>0.33300000000000002</v>
      </c>
      <c r="J36" s="21">
        <v>0.311</v>
      </c>
      <c r="K36" s="21">
        <v>0.19700000000000001</v>
      </c>
      <c r="L36" s="21">
        <v>0.311</v>
      </c>
      <c r="M36" s="21">
        <v>0.29499999999999998</v>
      </c>
      <c r="N36" s="21">
        <v>0.373</v>
      </c>
      <c r="O36" s="24">
        <v>0.28299999999999997</v>
      </c>
      <c r="P36" s="24">
        <v>0.224</v>
      </c>
      <c r="Q36" s="24">
        <v>0.22600000000000001</v>
      </c>
      <c r="R36" s="24">
        <v>0.23699999999999999</v>
      </c>
      <c r="S36" s="24">
        <v>0.248</v>
      </c>
    </row>
    <row r="37" spans="1:19" x14ac:dyDescent="0.2">
      <c r="A37" s="3" t="s">
        <v>246</v>
      </c>
      <c r="F37" s="21">
        <v>10.661</v>
      </c>
      <c r="G37" s="21">
        <v>10.808999999999999</v>
      </c>
      <c r="H37" s="21">
        <v>12.042</v>
      </c>
      <c r="I37" s="21">
        <v>12.673</v>
      </c>
      <c r="J37" s="21">
        <v>13.068</v>
      </c>
      <c r="K37" s="21">
        <v>13.65</v>
      </c>
      <c r="L37" s="21">
        <v>13.856</v>
      </c>
      <c r="M37" s="21">
        <v>14.343999999999999</v>
      </c>
      <c r="N37" s="21">
        <v>14.696</v>
      </c>
      <c r="O37" s="24">
        <v>15.15</v>
      </c>
      <c r="P37" s="24">
        <v>15.028</v>
      </c>
      <c r="Q37" s="24">
        <v>14.98</v>
      </c>
      <c r="R37" s="24">
        <v>14.955</v>
      </c>
      <c r="S37" s="24">
        <v>14.948</v>
      </c>
    </row>
    <row r="38" spans="1:19" x14ac:dyDescent="0.2">
      <c r="A38" s="3" t="s">
        <v>247</v>
      </c>
      <c r="F38" s="21">
        <v>9.8529999999999998</v>
      </c>
      <c r="G38" s="21">
        <v>10.397</v>
      </c>
      <c r="H38" s="21">
        <v>12.465</v>
      </c>
      <c r="I38" s="21">
        <v>12.44</v>
      </c>
      <c r="J38" s="21">
        <v>12.406000000000001</v>
      </c>
      <c r="K38" s="21">
        <v>12.407</v>
      </c>
      <c r="L38" s="21">
        <v>13.366</v>
      </c>
      <c r="M38" s="21">
        <v>13.064</v>
      </c>
      <c r="N38" s="21">
        <v>13.537000000000001</v>
      </c>
      <c r="O38" s="24">
        <v>13.993</v>
      </c>
      <c r="P38" s="24">
        <v>14.103</v>
      </c>
      <c r="Q38" s="24">
        <v>14.122</v>
      </c>
      <c r="R38" s="24">
        <v>14.109</v>
      </c>
      <c r="S38" s="24">
        <v>14.226000000000001</v>
      </c>
    </row>
    <row r="39" spans="1:19" x14ac:dyDescent="0.2">
      <c r="A39" s="3" t="s">
        <v>248</v>
      </c>
      <c r="F39" s="21">
        <v>4.6280000000000001</v>
      </c>
      <c r="G39" s="21">
        <v>3.274</v>
      </c>
      <c r="H39" s="21">
        <v>5.1369999999999996</v>
      </c>
      <c r="I39" s="21">
        <v>2.83</v>
      </c>
      <c r="J39" s="21">
        <v>5.5149999999999997</v>
      </c>
      <c r="K39" s="21">
        <v>5.3050000000000006</v>
      </c>
      <c r="L39" s="21">
        <v>3.9350000000000001</v>
      </c>
      <c r="M39" s="21">
        <v>4.1040000000000001</v>
      </c>
      <c r="N39" s="21">
        <v>3.8980000000000001</v>
      </c>
      <c r="O39" s="24">
        <v>4.8179999999999996</v>
      </c>
      <c r="P39" s="24">
        <v>4.5190000000000001</v>
      </c>
      <c r="Q39" s="24">
        <v>4.6059999999999999</v>
      </c>
      <c r="R39" s="24">
        <v>4.5640000000000001</v>
      </c>
      <c r="S39" s="24">
        <v>4.5339999999999998</v>
      </c>
    </row>
    <row r="40" spans="1:19" x14ac:dyDescent="0.2">
      <c r="A40" s="3" t="s">
        <v>249</v>
      </c>
      <c r="F40" s="21">
        <v>2.8220000000000001</v>
      </c>
      <c r="G40" s="21">
        <v>3.0819999999999999</v>
      </c>
      <c r="H40" s="21">
        <v>3.25</v>
      </c>
      <c r="I40" s="21">
        <v>3.3540000000000001</v>
      </c>
      <c r="J40" s="21">
        <v>3.5670000000000002</v>
      </c>
      <c r="K40" s="21">
        <v>3.5920000000000001</v>
      </c>
      <c r="L40" s="21">
        <v>3.67</v>
      </c>
      <c r="M40" s="21">
        <v>3.6920000000000002</v>
      </c>
      <c r="N40" s="21">
        <v>3.73</v>
      </c>
      <c r="O40" s="24">
        <v>3.8530000000000002</v>
      </c>
      <c r="P40" s="24">
        <v>3.7629999999999999</v>
      </c>
      <c r="Q40" s="24">
        <v>3.7589999999999999</v>
      </c>
      <c r="R40" s="24">
        <v>3.7629999999999999</v>
      </c>
      <c r="S40" s="24">
        <v>3.774</v>
      </c>
    </row>
    <row r="41" spans="1:19" x14ac:dyDescent="0.2">
      <c r="A41" s="3" t="s">
        <v>250</v>
      </c>
      <c r="F41" s="21">
        <v>1.478</v>
      </c>
      <c r="G41" s="21">
        <v>1.5249999999999999</v>
      </c>
      <c r="H41" s="21">
        <v>1.712</v>
      </c>
      <c r="I41" s="21">
        <v>1.7709999999999999</v>
      </c>
      <c r="J41" s="21">
        <v>1.778</v>
      </c>
      <c r="K41" s="21">
        <v>1.6930000000000001</v>
      </c>
      <c r="L41" s="21">
        <v>1.766</v>
      </c>
      <c r="M41" s="21">
        <v>1.776</v>
      </c>
      <c r="N41" s="21">
        <v>1.917</v>
      </c>
      <c r="O41" s="24">
        <v>2.0510000000000002</v>
      </c>
      <c r="P41" s="24">
        <v>2.1179999999999999</v>
      </c>
      <c r="Q41" s="24">
        <v>2.0819999999999999</v>
      </c>
      <c r="R41" s="24">
        <v>2.089</v>
      </c>
      <c r="S41" s="24">
        <v>2.089</v>
      </c>
    </row>
    <row r="42" spans="1:19" x14ac:dyDescent="0.2">
      <c r="A42" s="3" t="s">
        <v>251</v>
      </c>
      <c r="F42" s="21">
        <v>6.99</v>
      </c>
      <c r="G42" s="21">
        <v>7.4240000000000004</v>
      </c>
      <c r="H42" s="21">
        <v>9.0229999999999997</v>
      </c>
      <c r="I42" s="21">
        <v>7.9909999999999997</v>
      </c>
      <c r="J42" s="21">
        <v>8.4019999999999992</v>
      </c>
      <c r="K42" s="21">
        <v>10.259</v>
      </c>
      <c r="L42" s="21">
        <v>9.0519999999999996</v>
      </c>
      <c r="M42" s="21">
        <v>9.1370000000000005</v>
      </c>
      <c r="N42" s="21">
        <v>9.2789999999999999</v>
      </c>
      <c r="O42" s="24">
        <v>9.4489999999999998</v>
      </c>
      <c r="P42" s="24">
        <v>9.7799999999999994</v>
      </c>
      <c r="Q42" s="24">
        <v>10.08</v>
      </c>
      <c r="R42" s="24">
        <v>10.257</v>
      </c>
      <c r="S42" s="24">
        <v>10.395</v>
      </c>
    </row>
    <row r="43" spans="1:19" x14ac:dyDescent="0.2">
      <c r="A43" s="3" t="s">
        <v>252</v>
      </c>
      <c r="F43" s="21">
        <v>4.7229999999999999</v>
      </c>
      <c r="G43" s="21">
        <v>9.0380000000000003</v>
      </c>
      <c r="H43" s="21">
        <v>7.6950000000000003</v>
      </c>
      <c r="I43" s="21">
        <v>7.5410000000000004</v>
      </c>
      <c r="J43" s="21">
        <v>18.818000000000001</v>
      </c>
      <c r="K43" s="21">
        <v>10.018000000000001</v>
      </c>
      <c r="L43" s="21">
        <v>8.375</v>
      </c>
      <c r="M43" s="21">
        <v>7.7320000000000002</v>
      </c>
      <c r="N43" s="21">
        <v>8.2349999999999994</v>
      </c>
      <c r="O43" s="24">
        <v>7.5049999999999999</v>
      </c>
      <c r="P43" s="24">
        <v>7.6459999999999999</v>
      </c>
      <c r="Q43" s="24">
        <v>8.0670000000000002</v>
      </c>
      <c r="R43" s="24">
        <v>8.01</v>
      </c>
      <c r="S43" s="24">
        <v>8.0939999999999994</v>
      </c>
    </row>
    <row r="44" spans="1:19" x14ac:dyDescent="0.2">
      <c r="A44" s="3" t="s">
        <v>253</v>
      </c>
      <c r="F44" s="21">
        <v>1.2330000000000001</v>
      </c>
      <c r="G44" s="21">
        <v>1.4590000000000001</v>
      </c>
      <c r="H44" s="21">
        <v>1.4870000000000001</v>
      </c>
      <c r="I44" s="21">
        <v>1.373</v>
      </c>
      <c r="J44" s="21">
        <v>1.603</v>
      </c>
      <c r="K44" s="21">
        <v>1.5880000000000001</v>
      </c>
      <c r="L44" s="21">
        <v>1.579</v>
      </c>
      <c r="M44" s="21">
        <v>1.7030000000000001</v>
      </c>
      <c r="N44" s="21">
        <v>1.74</v>
      </c>
      <c r="O44" s="24">
        <v>1.9930000000000001</v>
      </c>
      <c r="P44" s="24">
        <v>1.877</v>
      </c>
      <c r="Q44" s="24">
        <v>1.847</v>
      </c>
      <c r="R44" s="24">
        <v>1.8839999999999999</v>
      </c>
      <c r="S44" s="24">
        <v>1.879</v>
      </c>
    </row>
    <row r="45" spans="1:19" x14ac:dyDescent="0.2">
      <c r="A45" s="3" t="s">
        <v>254</v>
      </c>
      <c r="F45" s="21">
        <v>1.722</v>
      </c>
      <c r="G45" s="21">
        <v>1.7909999999999999</v>
      </c>
      <c r="H45" s="21">
        <v>1.9810000000000001</v>
      </c>
      <c r="I45" s="21">
        <v>1.9330000000000001</v>
      </c>
      <c r="J45" s="21">
        <v>2.2120000000000002</v>
      </c>
      <c r="K45" s="21">
        <v>2.4459999999999997</v>
      </c>
      <c r="L45" s="21">
        <v>2.351</v>
      </c>
      <c r="M45" s="21">
        <v>2.3719999999999999</v>
      </c>
      <c r="N45" s="21">
        <v>2.198</v>
      </c>
      <c r="O45" s="24">
        <v>2.319</v>
      </c>
      <c r="P45" s="24">
        <v>2.3359999999999999</v>
      </c>
      <c r="Q45" s="24">
        <v>2.363</v>
      </c>
      <c r="R45" s="24">
        <v>2.3860000000000001</v>
      </c>
      <c r="S45" s="24">
        <v>2.3919999999999999</v>
      </c>
    </row>
    <row r="46" spans="1:19" x14ac:dyDescent="0.2">
      <c r="A46" s="3" t="s">
        <v>255</v>
      </c>
      <c r="F46" s="21">
        <v>0.86499999999999999</v>
      </c>
      <c r="G46" s="21">
        <v>0.93799999999999994</v>
      </c>
      <c r="H46" s="21">
        <v>1.075</v>
      </c>
      <c r="I46" s="21">
        <v>1.087</v>
      </c>
      <c r="J46" s="21">
        <v>1.655</v>
      </c>
      <c r="K46" s="21">
        <v>0.627</v>
      </c>
      <c r="L46" s="21">
        <v>0.98899999999999999</v>
      </c>
      <c r="M46" s="21">
        <v>1.095</v>
      </c>
      <c r="N46" s="21">
        <v>1.1140000000000001</v>
      </c>
      <c r="O46" s="24">
        <v>1.5349999999999999</v>
      </c>
      <c r="P46" s="24">
        <v>1.581</v>
      </c>
      <c r="Q46" s="24">
        <v>1.6</v>
      </c>
      <c r="R46" s="24">
        <v>1.6140000000000001</v>
      </c>
      <c r="S46" s="24">
        <v>1.639</v>
      </c>
    </row>
    <row r="47" spans="1:19" x14ac:dyDescent="0.2">
      <c r="A47" s="3" t="s">
        <v>256</v>
      </c>
      <c r="F47" s="21">
        <v>0.32100000000000001</v>
      </c>
      <c r="G47" s="21">
        <v>0.54600000000000004</v>
      </c>
      <c r="H47" s="21">
        <v>0.41599999999999998</v>
      </c>
      <c r="I47" s="21">
        <v>0.65100000000000002</v>
      </c>
      <c r="J47" s="21">
        <v>1.2250000000000001</v>
      </c>
      <c r="K47" s="21">
        <v>0.76900000000000002</v>
      </c>
      <c r="L47" s="21">
        <v>0.52800000000000002</v>
      </c>
      <c r="M47" s="21">
        <v>0.53800000000000003</v>
      </c>
      <c r="N47" s="21">
        <v>0.61599999999999999</v>
      </c>
      <c r="O47" s="24">
        <v>0.63900000000000001</v>
      </c>
      <c r="P47" s="24">
        <v>0.58199999999999996</v>
      </c>
      <c r="Q47" s="24">
        <v>0.627</v>
      </c>
      <c r="R47" s="24">
        <v>0.629</v>
      </c>
      <c r="S47" s="24">
        <v>0.59799999999999998</v>
      </c>
    </row>
    <row r="48" spans="1:19" x14ac:dyDescent="0.2">
      <c r="A48" s="3" t="s">
        <v>257</v>
      </c>
      <c r="F48" s="21">
        <v>7.3999999999999996E-2</v>
      </c>
      <c r="G48" s="21">
        <v>0.25900000000000001</v>
      </c>
      <c r="H48" s="21">
        <v>0.11799999999999999</v>
      </c>
      <c r="I48" s="21">
        <v>0.08</v>
      </c>
      <c r="J48" s="21">
        <v>0.47899999999999998</v>
      </c>
      <c r="K48" s="21">
        <v>0.42499999999999999</v>
      </c>
      <c r="L48" s="21">
        <v>0.60299999999999998</v>
      </c>
      <c r="M48" s="21">
        <v>0.57899999999999996</v>
      </c>
      <c r="N48" s="21">
        <v>0.14499999999999999</v>
      </c>
      <c r="O48" s="24">
        <v>0.53900000000000003</v>
      </c>
      <c r="P48" s="24">
        <v>0.42899999999999999</v>
      </c>
      <c r="Q48" s="24">
        <v>0.48799999999999999</v>
      </c>
      <c r="R48" s="24">
        <v>0.48399999999999999</v>
      </c>
      <c r="S48" s="24">
        <v>0.48399999999999999</v>
      </c>
    </row>
    <row r="49" spans="1:19" x14ac:dyDescent="0.2">
      <c r="A49" s="3" t="s">
        <v>258</v>
      </c>
      <c r="F49" s="21">
        <v>2.8849999999999998</v>
      </c>
      <c r="G49" s="21">
        <v>3.101</v>
      </c>
      <c r="H49" s="21">
        <v>3.07</v>
      </c>
      <c r="I49" s="21">
        <v>2.7770000000000001</v>
      </c>
      <c r="J49" s="21">
        <v>3.5960000000000001</v>
      </c>
      <c r="K49" s="21">
        <v>4.29</v>
      </c>
      <c r="L49" s="21">
        <v>4.3579999999999997</v>
      </c>
      <c r="M49" s="21">
        <v>4.4000000000000004</v>
      </c>
      <c r="N49" s="21">
        <v>4.5629999999999997</v>
      </c>
      <c r="O49" s="24">
        <v>4.4210000000000003</v>
      </c>
      <c r="P49" s="24">
        <v>4.83</v>
      </c>
      <c r="Q49" s="24">
        <v>5.077</v>
      </c>
      <c r="R49" s="24">
        <v>5.26</v>
      </c>
      <c r="S49" s="24">
        <v>5.4080000000000004</v>
      </c>
    </row>
    <row r="50" spans="1:19" x14ac:dyDescent="0.2">
      <c r="A50" s="31" t="s">
        <v>267</v>
      </c>
      <c r="F50" s="54">
        <f t="shared" ref="F50:S50" si="6">SUM(F$35:F$49,F$21:F$22)</f>
        <v>68.728999999999999</v>
      </c>
      <c r="G50" s="54">
        <f t="shared" si="6"/>
        <v>75.842000000000013</v>
      </c>
      <c r="H50" s="54">
        <f t="shared" si="6"/>
        <v>83.398999999999987</v>
      </c>
      <c r="I50" s="54">
        <f t="shared" si="6"/>
        <v>81.039999999999992</v>
      </c>
      <c r="J50" s="54">
        <f t="shared" si="6"/>
        <v>99.958999999999989</v>
      </c>
      <c r="K50" s="54">
        <f t="shared" si="6"/>
        <v>92.722999999999999</v>
      </c>
      <c r="L50" s="54">
        <f t="shared" si="6"/>
        <v>91.007000000000005</v>
      </c>
      <c r="M50" s="54">
        <f t="shared" si="6"/>
        <v>91.841999999999999</v>
      </c>
      <c r="N50" s="54">
        <f t="shared" si="6"/>
        <v>94.271999999999991</v>
      </c>
      <c r="O50" s="54">
        <f t="shared" si="6"/>
        <v>96.721999999999994</v>
      </c>
      <c r="P50" s="54">
        <f t="shared" si="6"/>
        <v>99.298000000000002</v>
      </c>
      <c r="Q50" s="54">
        <f t="shared" si="6"/>
        <v>104.04999999999997</v>
      </c>
      <c r="R50" s="54">
        <f t="shared" si="6"/>
        <v>107.12400000000001</v>
      </c>
      <c r="S50" s="54">
        <f t="shared" si="6"/>
        <v>110.46699999999998</v>
      </c>
    </row>
    <row r="51" spans="1:19" x14ac:dyDescent="0.2">
      <c r="A51" s="31" t="s">
        <v>259</v>
      </c>
    </row>
    <row r="52" spans="1:19" x14ac:dyDescent="0.2">
      <c r="A52" s="3" t="s">
        <v>245</v>
      </c>
      <c r="F52" s="21">
        <v>16.768000000000001</v>
      </c>
      <c r="G52" s="21">
        <v>17.876999999999999</v>
      </c>
      <c r="H52" s="21">
        <v>19.382000000000001</v>
      </c>
      <c r="I52" s="21">
        <v>21.184999999999999</v>
      </c>
      <c r="J52" s="21">
        <v>22.004999999999999</v>
      </c>
      <c r="K52" s="21">
        <v>22.027999999999999</v>
      </c>
      <c r="L52" s="21">
        <v>22.741</v>
      </c>
      <c r="M52" s="21">
        <v>23.026</v>
      </c>
      <c r="N52" s="21">
        <v>23.523</v>
      </c>
      <c r="O52" s="24">
        <v>24.324999999999999</v>
      </c>
      <c r="P52" s="24">
        <v>25.209</v>
      </c>
      <c r="Q52" s="24">
        <v>26.007000000000001</v>
      </c>
      <c r="R52" s="24">
        <v>26.745999999999999</v>
      </c>
      <c r="S52" s="24">
        <v>27.864999999999998</v>
      </c>
    </row>
    <row r="53" spans="1:19" x14ac:dyDescent="0.2">
      <c r="A53" s="3" t="s">
        <v>588</v>
      </c>
      <c r="F53" s="21">
        <v>0.64500000000000002</v>
      </c>
      <c r="G53" s="21">
        <v>0.69</v>
      </c>
      <c r="H53" s="21">
        <v>0.65500000000000003</v>
      </c>
      <c r="I53" s="21">
        <v>0.32800000000000001</v>
      </c>
      <c r="J53" s="21">
        <v>0.30499999999999999</v>
      </c>
      <c r="K53" s="21">
        <v>0.192</v>
      </c>
      <c r="L53" s="21">
        <v>0.30299999999999999</v>
      </c>
      <c r="M53" s="21">
        <v>0.28199999999999997</v>
      </c>
      <c r="N53" s="21">
        <v>0.35799999999999998</v>
      </c>
      <c r="O53" s="24">
        <v>0.26500000000000001</v>
      </c>
      <c r="P53" s="24">
        <v>0.20599999999999999</v>
      </c>
      <c r="Q53" s="24">
        <v>0.20799999999999999</v>
      </c>
      <c r="R53" s="24">
        <v>0.219</v>
      </c>
      <c r="S53" s="24">
        <v>0.23</v>
      </c>
    </row>
    <row r="54" spans="1:19" x14ac:dyDescent="0.2">
      <c r="A54" s="3" t="s">
        <v>246</v>
      </c>
      <c r="F54" s="21">
        <v>10.355</v>
      </c>
      <c r="G54" s="21">
        <v>11.297000000000001</v>
      </c>
      <c r="H54" s="21">
        <v>12.368</v>
      </c>
      <c r="I54" s="21">
        <v>13.128</v>
      </c>
      <c r="J54" s="21">
        <v>13.753</v>
      </c>
      <c r="K54" s="21">
        <v>14.16</v>
      </c>
      <c r="L54" s="21">
        <v>14.497999999999999</v>
      </c>
      <c r="M54" s="21">
        <v>14.898</v>
      </c>
      <c r="N54" s="21">
        <v>15.058</v>
      </c>
      <c r="O54" s="24">
        <v>15.601000000000001</v>
      </c>
      <c r="P54" s="24">
        <v>15.616</v>
      </c>
      <c r="Q54" s="24">
        <v>15.667999999999999</v>
      </c>
      <c r="R54" s="24">
        <v>15.734999999999999</v>
      </c>
      <c r="S54" s="24">
        <v>15.733000000000001</v>
      </c>
    </row>
    <row r="55" spans="1:19" x14ac:dyDescent="0.2">
      <c r="A55" s="3" t="s">
        <v>247</v>
      </c>
      <c r="F55" s="21">
        <v>9.2690000000000001</v>
      </c>
      <c r="G55" s="21">
        <v>9.5510000000000002</v>
      </c>
      <c r="H55" s="21">
        <v>11.455</v>
      </c>
      <c r="I55" s="21">
        <v>11.724</v>
      </c>
      <c r="J55" s="21">
        <v>11.65</v>
      </c>
      <c r="K55" s="21">
        <v>11.654</v>
      </c>
      <c r="L55" s="21">
        <v>12.504</v>
      </c>
      <c r="M55" s="21">
        <v>12.3</v>
      </c>
      <c r="N55" s="21">
        <v>12.879</v>
      </c>
      <c r="O55" s="24">
        <v>13.222</v>
      </c>
      <c r="P55" s="24">
        <v>13.316000000000001</v>
      </c>
      <c r="Q55" s="24">
        <v>13.332000000000001</v>
      </c>
      <c r="R55" s="24">
        <v>13.315</v>
      </c>
      <c r="S55" s="24">
        <v>13.430999999999999</v>
      </c>
    </row>
    <row r="56" spans="1:19" x14ac:dyDescent="0.2">
      <c r="A56" s="3" t="s">
        <v>248</v>
      </c>
      <c r="F56" s="21">
        <v>4.8159999999999998</v>
      </c>
      <c r="G56" s="21">
        <v>3.371</v>
      </c>
      <c r="H56" s="21">
        <v>5.2930000000000001</v>
      </c>
      <c r="I56" s="21">
        <v>2.9740000000000002</v>
      </c>
      <c r="J56" s="21">
        <v>5.5629999999999997</v>
      </c>
      <c r="K56" s="21">
        <v>5.4279999999999999</v>
      </c>
      <c r="L56" s="21">
        <v>4.2690000000000001</v>
      </c>
      <c r="M56" s="21">
        <v>4.5019999999999998</v>
      </c>
      <c r="N56" s="21">
        <v>4.1340000000000003</v>
      </c>
      <c r="O56" s="24">
        <v>4.976</v>
      </c>
      <c r="P56" s="24">
        <v>4.782</v>
      </c>
      <c r="Q56" s="24">
        <v>4.8639999999999999</v>
      </c>
      <c r="R56" s="24">
        <v>4.8499999999999996</v>
      </c>
      <c r="S56" s="24">
        <v>4.8140000000000001</v>
      </c>
    </row>
    <row r="57" spans="1:19" x14ac:dyDescent="0.2">
      <c r="A57" s="3" t="s">
        <v>249</v>
      </c>
      <c r="F57" s="21">
        <v>2.6989999999999998</v>
      </c>
      <c r="G57" s="21">
        <v>2.8940000000000001</v>
      </c>
      <c r="H57" s="21">
        <v>3.089</v>
      </c>
      <c r="I57" s="21">
        <v>3.1909999999999998</v>
      </c>
      <c r="J57" s="21">
        <v>3.3820000000000001</v>
      </c>
      <c r="K57" s="21">
        <v>3.403</v>
      </c>
      <c r="L57" s="21">
        <v>3.456</v>
      </c>
      <c r="M57" s="21">
        <v>3.4630000000000001</v>
      </c>
      <c r="N57" s="21">
        <v>3.5150000000000001</v>
      </c>
      <c r="O57" s="24">
        <v>3.6349999999999998</v>
      </c>
      <c r="P57" s="24">
        <v>3.53</v>
      </c>
      <c r="Q57" s="24">
        <v>3.5179999999999998</v>
      </c>
      <c r="R57" s="24">
        <v>3.51</v>
      </c>
      <c r="S57" s="24">
        <v>3.5129999999999999</v>
      </c>
    </row>
    <row r="58" spans="1:19" x14ac:dyDescent="0.2">
      <c r="A58" s="3" t="s">
        <v>250</v>
      </c>
      <c r="F58" s="21">
        <v>1.5169999999999999</v>
      </c>
      <c r="G58" s="21">
        <v>1.5620000000000001</v>
      </c>
      <c r="H58" s="21">
        <v>1.7569999999999999</v>
      </c>
      <c r="I58" s="21">
        <v>1.8140000000000001</v>
      </c>
      <c r="J58" s="21">
        <v>1.8089999999999999</v>
      </c>
      <c r="K58" s="21">
        <v>1.736</v>
      </c>
      <c r="L58" s="21">
        <v>1.804</v>
      </c>
      <c r="M58" s="21">
        <v>1.8109999999999999</v>
      </c>
      <c r="N58" s="21">
        <v>1.9610000000000001</v>
      </c>
      <c r="O58" s="24">
        <v>2.0790000000000002</v>
      </c>
      <c r="P58" s="24">
        <v>2.1459999999999999</v>
      </c>
      <c r="Q58" s="24">
        <v>2.11</v>
      </c>
      <c r="R58" s="24">
        <v>2.117</v>
      </c>
      <c r="S58" s="24">
        <v>2.117</v>
      </c>
    </row>
    <row r="59" spans="1:19" x14ac:dyDescent="0.2">
      <c r="A59" s="3" t="s">
        <v>251</v>
      </c>
      <c r="F59" s="21">
        <v>2.4049999999999998</v>
      </c>
      <c r="G59" s="21">
        <v>2.2440000000000002</v>
      </c>
      <c r="H59" s="21">
        <v>2.6629999999999998</v>
      </c>
      <c r="I59" s="21">
        <v>2.3450000000000002</v>
      </c>
      <c r="J59" s="21">
        <v>2.2810000000000001</v>
      </c>
      <c r="K59" s="21">
        <v>2.2320000000000002</v>
      </c>
      <c r="L59" s="21">
        <v>2.2549999999999999</v>
      </c>
      <c r="M59" s="21">
        <v>2.2370000000000001</v>
      </c>
      <c r="N59" s="21">
        <v>2.2909999999999999</v>
      </c>
      <c r="O59" s="24">
        <v>2.2650000000000001</v>
      </c>
      <c r="P59" s="24">
        <v>2.3210000000000002</v>
      </c>
      <c r="Q59" s="24">
        <v>2.4039999999999999</v>
      </c>
      <c r="R59" s="24">
        <v>2.4350000000000001</v>
      </c>
      <c r="S59" s="24">
        <v>2.42</v>
      </c>
    </row>
    <row r="60" spans="1:19" x14ac:dyDescent="0.2">
      <c r="A60" s="3" t="s">
        <v>252</v>
      </c>
      <c r="F60" s="21">
        <v>1.595</v>
      </c>
      <c r="G60" s="21">
        <v>2.8889999999999998</v>
      </c>
      <c r="H60" s="21">
        <v>2.96</v>
      </c>
      <c r="I60" s="21">
        <v>2.839</v>
      </c>
      <c r="J60" s="21">
        <v>2.609</v>
      </c>
      <c r="K60" s="21">
        <v>2.073</v>
      </c>
      <c r="L60" s="21">
        <v>1.978</v>
      </c>
      <c r="M60" s="21">
        <v>2.0579999999999998</v>
      </c>
      <c r="N60" s="21">
        <v>2.2280000000000002</v>
      </c>
      <c r="O60" s="24">
        <v>2.1960000000000002</v>
      </c>
      <c r="P60" s="24">
        <v>2.2480000000000002</v>
      </c>
      <c r="Q60" s="24">
        <v>2.246</v>
      </c>
      <c r="R60" s="24">
        <v>2.1859999999999999</v>
      </c>
      <c r="S60" s="24">
        <v>2.2650000000000001</v>
      </c>
    </row>
    <row r="61" spans="1:19" x14ac:dyDescent="0.2">
      <c r="A61" s="3" t="s">
        <v>253</v>
      </c>
      <c r="F61" s="21">
        <v>0.438</v>
      </c>
      <c r="G61" s="21">
        <v>0.54100000000000004</v>
      </c>
      <c r="H61" s="21">
        <v>0.53400000000000003</v>
      </c>
      <c r="I61" s="21">
        <v>0.50700000000000001</v>
      </c>
      <c r="J61" s="21">
        <v>0.70599999999999996</v>
      </c>
      <c r="K61" s="21">
        <v>0.64800000000000002</v>
      </c>
      <c r="L61" s="21">
        <v>0.65900000000000003</v>
      </c>
      <c r="M61" s="21">
        <v>0.67600000000000005</v>
      </c>
      <c r="N61" s="21">
        <v>0.66700000000000004</v>
      </c>
      <c r="O61" s="24">
        <v>0.82199999999999995</v>
      </c>
      <c r="P61" s="24">
        <v>0.67200000000000004</v>
      </c>
      <c r="Q61" s="24">
        <v>0.65500000000000003</v>
      </c>
      <c r="R61" s="24">
        <v>0.67200000000000004</v>
      </c>
      <c r="S61" s="24">
        <v>0.66100000000000003</v>
      </c>
    </row>
    <row r="62" spans="1:19" x14ac:dyDescent="0.2">
      <c r="A62" s="3" t="s">
        <v>254</v>
      </c>
      <c r="F62" s="21">
        <v>0.52300000000000002</v>
      </c>
      <c r="G62" s="21">
        <v>0.56100000000000005</v>
      </c>
      <c r="H62" s="21">
        <v>0.58599999999999997</v>
      </c>
      <c r="I62" s="21">
        <v>0.63</v>
      </c>
      <c r="J62" s="21">
        <v>0.74099999999999999</v>
      </c>
      <c r="K62" s="21">
        <v>0.86299999999999999</v>
      </c>
      <c r="L62" s="21">
        <v>0.80400000000000005</v>
      </c>
      <c r="M62" s="21">
        <v>0.84199999999999997</v>
      </c>
      <c r="N62" s="21">
        <v>0.77800000000000002</v>
      </c>
      <c r="O62" s="24">
        <v>0.82799999999999996</v>
      </c>
      <c r="P62" s="24">
        <v>0.79700000000000004</v>
      </c>
      <c r="Q62" s="24">
        <v>0.79100000000000004</v>
      </c>
      <c r="R62" s="24">
        <v>0.77700000000000002</v>
      </c>
      <c r="S62" s="24">
        <v>0.78900000000000003</v>
      </c>
    </row>
    <row r="63" spans="1:19" x14ac:dyDescent="0.2">
      <c r="A63" s="3" t="s">
        <v>255</v>
      </c>
      <c r="F63" s="21">
        <v>0.255</v>
      </c>
      <c r="G63" s="21">
        <v>0.26</v>
      </c>
      <c r="H63" s="21">
        <v>0.29699999999999999</v>
      </c>
      <c r="I63" s="21">
        <v>0.30599999999999999</v>
      </c>
      <c r="J63" s="21">
        <v>0.876</v>
      </c>
      <c r="K63" s="21">
        <v>-4.5999999999999999E-2</v>
      </c>
      <c r="L63" s="21">
        <v>0.28299999999999997</v>
      </c>
      <c r="M63" s="21">
        <v>0.34699999999999998</v>
      </c>
      <c r="N63" s="21">
        <v>0.32</v>
      </c>
      <c r="O63" s="24">
        <v>0.61899999999999999</v>
      </c>
      <c r="P63" s="24">
        <v>0.50600000000000001</v>
      </c>
      <c r="Q63" s="24">
        <v>0.48399999999999999</v>
      </c>
      <c r="R63" s="24">
        <v>0.47699999999999998</v>
      </c>
      <c r="S63" s="24">
        <v>0.47499999999999998</v>
      </c>
    </row>
    <row r="64" spans="1:19" x14ac:dyDescent="0.2">
      <c r="A64" s="3" t="s">
        <v>256</v>
      </c>
      <c r="F64" s="21">
        <v>0.32100000000000001</v>
      </c>
      <c r="G64" s="21">
        <v>0.54600000000000004</v>
      </c>
      <c r="H64" s="21">
        <v>0.41599999999999998</v>
      </c>
      <c r="I64" s="21">
        <v>0.65100000000000002</v>
      </c>
      <c r="J64" s="21">
        <v>1.2250000000000001</v>
      </c>
      <c r="K64" s="21">
        <v>0.76900000000000002</v>
      </c>
      <c r="L64" s="21">
        <v>0.53</v>
      </c>
      <c r="M64" s="21">
        <v>0.53300000000000003</v>
      </c>
      <c r="N64" s="21">
        <v>0.72299999999999998</v>
      </c>
      <c r="O64" s="24">
        <v>0.63700000000000001</v>
      </c>
      <c r="P64" s="24">
        <v>0.58099999999999996</v>
      </c>
      <c r="Q64" s="24">
        <v>0.625</v>
      </c>
      <c r="R64" s="24">
        <v>0.627</v>
      </c>
      <c r="S64" s="24">
        <v>0.59599999999999997</v>
      </c>
    </row>
    <row r="65" spans="1:19" x14ac:dyDescent="0.2">
      <c r="A65" s="3" t="s">
        <v>257</v>
      </c>
      <c r="F65" s="21">
        <v>6.8000000000000005E-2</v>
      </c>
      <c r="G65" s="21">
        <v>0.254</v>
      </c>
      <c r="H65" s="21">
        <v>0.11799999999999999</v>
      </c>
      <c r="I65" s="21">
        <v>0.08</v>
      </c>
      <c r="J65" s="21">
        <v>0.47899999999999998</v>
      </c>
      <c r="K65" s="21">
        <v>0.42499999999999999</v>
      </c>
      <c r="L65" s="21">
        <v>0.60299999999999998</v>
      </c>
      <c r="M65" s="21">
        <v>0.57899999999999996</v>
      </c>
      <c r="N65" s="21">
        <v>0.14499999999999999</v>
      </c>
      <c r="O65" s="24">
        <v>0.53900000000000003</v>
      </c>
      <c r="P65" s="24">
        <v>0.42899999999999999</v>
      </c>
      <c r="Q65" s="24">
        <v>0.48799999999999999</v>
      </c>
      <c r="R65" s="24">
        <v>0.48399999999999999</v>
      </c>
      <c r="S65" s="24">
        <v>0.48399999999999999</v>
      </c>
    </row>
    <row r="66" spans="1:19" x14ac:dyDescent="0.2">
      <c r="A66" s="3" t="s">
        <v>258</v>
      </c>
      <c r="F66" s="21">
        <v>2.33</v>
      </c>
      <c r="G66" s="21">
        <v>2.46</v>
      </c>
      <c r="H66" s="21">
        <v>2.4289999999999998</v>
      </c>
      <c r="I66" s="21">
        <v>2.3109999999999999</v>
      </c>
      <c r="J66" s="21">
        <v>3.0659999999999998</v>
      </c>
      <c r="K66" s="21">
        <v>3.5110000000000001</v>
      </c>
      <c r="L66" s="21">
        <v>3.6190000000000002</v>
      </c>
      <c r="M66" s="21">
        <v>3.62</v>
      </c>
      <c r="N66" s="21">
        <v>3.7829999999999999</v>
      </c>
      <c r="O66" s="24">
        <v>3.6560000000000001</v>
      </c>
      <c r="P66" s="24">
        <v>3.9460000000000002</v>
      </c>
      <c r="Q66" s="24">
        <v>4.0510000000000002</v>
      </c>
      <c r="R66" s="24">
        <v>4.22</v>
      </c>
      <c r="S66" s="24">
        <v>4.3310000000000004</v>
      </c>
    </row>
    <row r="67" spans="1:19" x14ac:dyDescent="0.2">
      <c r="A67" s="31" t="s">
        <v>268</v>
      </c>
      <c r="F67" s="54">
        <f t="shared" ref="F67:S67" si="7">SUM(F$52:F$66,F$21:F$22)</f>
        <v>54.004000000000005</v>
      </c>
      <c r="G67" s="54">
        <f t="shared" si="7"/>
        <v>56.996999999999993</v>
      </c>
      <c r="H67" s="54">
        <f t="shared" si="7"/>
        <v>64.001999999999981</v>
      </c>
      <c r="I67" s="54">
        <f t="shared" si="7"/>
        <v>64.013000000000005</v>
      </c>
      <c r="J67" s="54">
        <f t="shared" si="7"/>
        <v>70.45</v>
      </c>
      <c r="K67" s="54">
        <f t="shared" si="7"/>
        <v>69.075999999999979</v>
      </c>
      <c r="L67" s="54">
        <f t="shared" si="7"/>
        <v>70.306000000000012</v>
      </c>
      <c r="M67" s="54">
        <f t="shared" si="7"/>
        <v>71.173999999999992</v>
      </c>
      <c r="N67" s="54">
        <f t="shared" si="7"/>
        <v>72.362999999999985</v>
      </c>
      <c r="O67" s="54">
        <f t="shared" si="7"/>
        <v>74.911000000000001</v>
      </c>
      <c r="P67" s="54">
        <f t="shared" si="7"/>
        <v>76.828000000000017</v>
      </c>
      <c r="Q67" s="54">
        <f t="shared" si="7"/>
        <v>80.656999999999982</v>
      </c>
      <c r="R67" s="54">
        <f t="shared" si="7"/>
        <v>83.284999999999982</v>
      </c>
      <c r="S67" s="54">
        <f t="shared" si="7"/>
        <v>86.16</v>
      </c>
    </row>
    <row r="68" spans="1:19" x14ac:dyDescent="0.2">
      <c r="A68" s="31" t="s">
        <v>393</v>
      </c>
    </row>
    <row r="69" spans="1:19" x14ac:dyDescent="0.2">
      <c r="A69" s="32" t="s">
        <v>260</v>
      </c>
      <c r="F69" s="21">
        <v>52.156999999999996</v>
      </c>
      <c r="G69" s="21">
        <v>55.167999999999999</v>
      </c>
      <c r="H69" s="21">
        <v>51.119</v>
      </c>
      <c r="I69" s="21">
        <v>50.103999999999999</v>
      </c>
      <c r="J69" s="21">
        <v>50.417999999999999</v>
      </c>
      <c r="K69" s="21">
        <v>53.582000000000001</v>
      </c>
      <c r="L69" s="21">
        <v>56.412999999999997</v>
      </c>
      <c r="M69" s="21">
        <v>59.853000000000002</v>
      </c>
      <c r="N69" s="21">
        <v>64.944999999999993</v>
      </c>
      <c r="O69" s="24">
        <v>66.504999999999995</v>
      </c>
      <c r="P69" s="24">
        <v>68.902000000000001</v>
      </c>
      <c r="Q69" s="24">
        <v>73.12</v>
      </c>
      <c r="R69" s="24">
        <v>77.89</v>
      </c>
      <c r="S69" s="24">
        <v>81.855999999999995</v>
      </c>
    </row>
    <row r="70" spans="1:19" x14ac:dyDescent="0.2">
      <c r="A70" s="32" t="s">
        <v>261</v>
      </c>
      <c r="F70" s="21">
        <v>3.2240000000000002</v>
      </c>
      <c r="G70" s="21">
        <v>3.46</v>
      </c>
      <c r="H70" s="21">
        <v>3.7160000000000002</v>
      </c>
      <c r="I70" s="21">
        <v>4.2679999999999998</v>
      </c>
      <c r="J70" s="21">
        <v>4.6929999999999996</v>
      </c>
      <c r="K70" s="21">
        <v>4.8899999999999997</v>
      </c>
      <c r="L70" s="21">
        <v>4.806</v>
      </c>
      <c r="M70" s="21">
        <v>4.9740000000000002</v>
      </c>
      <c r="N70" s="21">
        <v>4.7309999999999999</v>
      </c>
      <c r="O70" s="24">
        <v>4.4530000000000003</v>
      </c>
      <c r="P70" s="24">
        <v>4.17</v>
      </c>
      <c r="Q70" s="24">
        <v>4.343</v>
      </c>
      <c r="R70" s="24">
        <v>4.5220000000000002</v>
      </c>
      <c r="S70" s="24">
        <v>4.68</v>
      </c>
    </row>
    <row r="71" spans="1:19" x14ac:dyDescent="0.2">
      <c r="A71" s="32" t="s">
        <v>225</v>
      </c>
      <c r="F71" s="21">
        <v>12.996</v>
      </c>
      <c r="G71" s="21">
        <v>14.635</v>
      </c>
      <c r="H71" s="21">
        <v>16.591999999999999</v>
      </c>
      <c r="I71" s="21">
        <v>14.411</v>
      </c>
      <c r="J71" s="21">
        <v>14.898999999999999</v>
      </c>
      <c r="K71" s="21">
        <v>16.812000000000001</v>
      </c>
      <c r="L71" s="21">
        <v>16.651</v>
      </c>
      <c r="M71" s="21">
        <v>16.608000000000001</v>
      </c>
      <c r="N71" s="21">
        <v>17.231999999999999</v>
      </c>
      <c r="O71" s="24">
        <v>17.219000000000001</v>
      </c>
      <c r="P71" s="24">
        <v>17.7</v>
      </c>
      <c r="Q71" s="24">
        <v>18.395</v>
      </c>
      <c r="R71" s="24">
        <v>18.585999999999999</v>
      </c>
      <c r="S71" s="24">
        <v>18.940000000000001</v>
      </c>
    </row>
    <row r="72" spans="1:19" x14ac:dyDescent="0.2">
      <c r="A72" s="32" t="s">
        <v>262</v>
      </c>
      <c r="F72" s="21">
        <v>2.4910000000000001</v>
      </c>
      <c r="G72" s="21">
        <v>3.1110000000000002</v>
      </c>
      <c r="H72" s="21">
        <v>2.7919999999999998</v>
      </c>
      <c r="I72" s="21">
        <v>2.3780000000000001</v>
      </c>
      <c r="J72" s="21">
        <v>2.6819999999999999</v>
      </c>
      <c r="K72" s="21">
        <v>2.6030000000000002</v>
      </c>
      <c r="L72" s="21">
        <v>2.694</v>
      </c>
      <c r="M72" s="21">
        <v>2.9449999999999998</v>
      </c>
      <c r="N72" s="21">
        <v>3.3639999999999999</v>
      </c>
      <c r="O72" s="24">
        <v>3.5169999999999999</v>
      </c>
      <c r="P72" s="24">
        <v>3.6720000000000002</v>
      </c>
      <c r="Q72" s="24">
        <v>4.0270000000000001</v>
      </c>
      <c r="R72" s="24">
        <v>4.3849999999999998</v>
      </c>
      <c r="S72" s="24">
        <v>4.3620000000000001</v>
      </c>
    </row>
    <row r="73" spans="1:19" x14ac:dyDescent="0.2">
      <c r="A73" s="32" t="s">
        <v>263</v>
      </c>
      <c r="F73" s="21">
        <v>2.222</v>
      </c>
      <c r="G73" s="21">
        <v>2.2109999999999999</v>
      </c>
      <c r="H73" s="21">
        <v>2.2040000000000002</v>
      </c>
      <c r="I73" s="21">
        <v>2.9740000000000002</v>
      </c>
      <c r="J73" s="21">
        <v>2.99</v>
      </c>
      <c r="K73" s="21">
        <v>4.3949999999999996</v>
      </c>
      <c r="L73" s="21">
        <v>5.9329999999999998</v>
      </c>
      <c r="M73" s="21">
        <v>5.7370000000000001</v>
      </c>
      <c r="N73" s="21">
        <v>3.823</v>
      </c>
      <c r="O73" s="24">
        <v>4.0010000000000003</v>
      </c>
      <c r="P73" s="24">
        <v>3.7829999999999999</v>
      </c>
      <c r="Q73" s="24">
        <v>3.6240000000000001</v>
      </c>
      <c r="R73" s="24">
        <v>3.5529999999999999</v>
      </c>
      <c r="S73" s="24">
        <v>3.5950000000000002</v>
      </c>
    </row>
    <row r="74" spans="1:19" x14ac:dyDescent="0.2">
      <c r="A74" s="31" t="s">
        <v>264</v>
      </c>
      <c r="F74" s="54">
        <f>SUM(F$69:F$73)</f>
        <v>73.089999999999989</v>
      </c>
      <c r="G74" s="54">
        <f t="shared" ref="G74:S74" si="8">SUM(G$69:G$73)</f>
        <v>78.585000000000008</v>
      </c>
      <c r="H74" s="54">
        <f t="shared" si="8"/>
        <v>76.422999999999988</v>
      </c>
      <c r="I74" s="54">
        <f t="shared" si="8"/>
        <v>74.135000000000005</v>
      </c>
      <c r="J74" s="54">
        <f t="shared" si="8"/>
        <v>75.681999999999988</v>
      </c>
      <c r="K74" s="54">
        <f t="shared" si="8"/>
        <v>82.281999999999996</v>
      </c>
      <c r="L74" s="54">
        <f t="shared" si="8"/>
        <v>86.496999999999986</v>
      </c>
      <c r="M74" s="54">
        <f t="shared" si="8"/>
        <v>90.11699999999999</v>
      </c>
      <c r="N74" s="54">
        <f t="shared" si="8"/>
        <v>94.094999999999985</v>
      </c>
      <c r="O74" s="54">
        <f t="shared" si="8"/>
        <v>95.694999999999993</v>
      </c>
      <c r="P74" s="54">
        <f t="shared" si="8"/>
        <v>98.227000000000004</v>
      </c>
      <c r="Q74" s="54">
        <f t="shared" si="8"/>
        <v>103.509</v>
      </c>
      <c r="R74" s="54">
        <f t="shared" si="8"/>
        <v>108.93600000000001</v>
      </c>
      <c r="S74" s="54">
        <f t="shared" si="8"/>
        <v>113.43299999999999</v>
      </c>
    </row>
    <row r="75" spans="1:19" x14ac:dyDescent="0.2">
      <c r="A75" s="32" t="s">
        <v>229</v>
      </c>
      <c r="F75" s="21">
        <v>16.344000000000001</v>
      </c>
      <c r="G75" s="21">
        <v>18.026</v>
      </c>
      <c r="H75" s="21">
        <v>19.672999999999998</v>
      </c>
      <c r="I75" s="21">
        <v>21.335000000000001</v>
      </c>
      <c r="J75" s="21">
        <v>22.172000000000001</v>
      </c>
      <c r="K75" s="21">
        <v>22.84</v>
      </c>
      <c r="L75" s="21">
        <v>22.78</v>
      </c>
      <c r="M75" s="21">
        <v>23.446999999999999</v>
      </c>
      <c r="N75" s="21">
        <v>23.896000000000001</v>
      </c>
      <c r="O75" s="24">
        <v>24.489000000000001</v>
      </c>
      <c r="P75" s="24">
        <v>25.538</v>
      </c>
      <c r="Q75" s="24">
        <v>26.420999999999999</v>
      </c>
      <c r="R75" s="24">
        <v>27.186</v>
      </c>
      <c r="S75" s="24">
        <v>28.65</v>
      </c>
    </row>
    <row r="76" spans="1:19" x14ac:dyDescent="0.2">
      <c r="A76" s="32" t="s">
        <v>265</v>
      </c>
      <c r="F76" s="21">
        <v>41.844999999999999</v>
      </c>
      <c r="G76" s="21">
        <v>45.972000000000001</v>
      </c>
      <c r="H76" s="21">
        <v>50.390999999999998</v>
      </c>
      <c r="I76" s="21">
        <v>50.767000000000003</v>
      </c>
      <c r="J76" s="21">
        <v>55.152000000000001</v>
      </c>
      <c r="K76" s="21">
        <v>59.106999999999999</v>
      </c>
      <c r="L76" s="21">
        <v>58.45</v>
      </c>
      <c r="M76" s="21">
        <v>59.890999999999998</v>
      </c>
      <c r="N76" s="21">
        <v>60.009</v>
      </c>
      <c r="O76" s="24">
        <v>62.893000000000001</v>
      </c>
      <c r="P76" s="24">
        <v>61.631999999999998</v>
      </c>
      <c r="Q76" s="24">
        <v>61.89</v>
      </c>
      <c r="R76" s="24">
        <v>61.046999999999997</v>
      </c>
      <c r="S76" s="24">
        <v>61.649000000000001</v>
      </c>
    </row>
    <row r="77" spans="1:19" x14ac:dyDescent="0.2">
      <c r="A77" s="32" t="s">
        <v>266</v>
      </c>
      <c r="F77" s="21">
        <v>2.4409999999999998</v>
      </c>
      <c r="G77" s="21">
        <v>2.82</v>
      </c>
      <c r="H77" s="21">
        <v>2.88</v>
      </c>
      <c r="I77" s="21">
        <v>2.42</v>
      </c>
      <c r="J77" s="21">
        <v>3.1070000000000002</v>
      </c>
      <c r="K77" s="21">
        <v>3.9540000000000002</v>
      </c>
      <c r="L77" s="21">
        <v>4.3689999999999998</v>
      </c>
      <c r="M77" s="21">
        <v>4.3120000000000003</v>
      </c>
      <c r="N77" s="21">
        <v>4.5979999999999999</v>
      </c>
      <c r="O77" s="24">
        <v>4.3849999999999998</v>
      </c>
      <c r="P77" s="24">
        <v>4.6669999999999998</v>
      </c>
      <c r="Q77" s="24">
        <v>4.923</v>
      </c>
      <c r="R77" s="24">
        <v>5.0940000000000003</v>
      </c>
      <c r="S77" s="24">
        <v>4.6239999999999997</v>
      </c>
    </row>
    <row r="78" spans="1:19" x14ac:dyDescent="0.2">
      <c r="A78" s="31" t="s">
        <v>269</v>
      </c>
      <c r="F78" s="54">
        <f t="shared" ref="F78:S78" si="9">SUM(F$75:F$77,F$21:F$22)</f>
        <v>60.63</v>
      </c>
      <c r="G78" s="54">
        <f t="shared" si="9"/>
        <v>66.817999999999998</v>
      </c>
      <c r="H78" s="54">
        <f t="shared" si="9"/>
        <v>72.943999999999988</v>
      </c>
      <c r="I78" s="54">
        <f t="shared" si="9"/>
        <v>74.522000000000006</v>
      </c>
      <c r="J78" s="54">
        <f t="shared" si="9"/>
        <v>80.430999999999997</v>
      </c>
      <c r="K78" s="54">
        <f t="shared" si="9"/>
        <v>85.900999999999996</v>
      </c>
      <c r="L78" s="54">
        <f t="shared" si="9"/>
        <v>85.599000000000004</v>
      </c>
      <c r="M78" s="54">
        <f t="shared" si="9"/>
        <v>87.649999999999991</v>
      </c>
      <c r="N78" s="54">
        <f t="shared" si="9"/>
        <v>88.503</v>
      </c>
      <c r="O78" s="54">
        <f t="shared" si="9"/>
        <v>91.013000000000005</v>
      </c>
      <c r="P78" s="54">
        <f t="shared" si="9"/>
        <v>92.360000000000014</v>
      </c>
      <c r="Q78" s="54">
        <f t="shared" si="9"/>
        <v>96.440000000000012</v>
      </c>
      <c r="R78" s="54">
        <f t="shared" si="9"/>
        <v>98.24199999999999</v>
      </c>
      <c r="S78" s="54">
        <f t="shared" si="9"/>
        <v>101.35900000000001</v>
      </c>
    </row>
    <row r="79" spans="1:19" x14ac:dyDescent="0.2">
      <c r="A79" s="31" t="s">
        <v>270</v>
      </c>
      <c r="F79" s="54">
        <f>SUM(F$74,-F$78)</f>
        <v>12.459999999999987</v>
      </c>
      <c r="G79" s="54">
        <f t="shared" ref="G79:S79" si="10">SUM(G$74,-G$78)</f>
        <v>11.76700000000001</v>
      </c>
      <c r="H79" s="54">
        <f t="shared" si="10"/>
        <v>3.4789999999999992</v>
      </c>
      <c r="I79" s="54">
        <f t="shared" si="10"/>
        <v>-0.38700000000000045</v>
      </c>
      <c r="J79" s="54">
        <f t="shared" si="10"/>
        <v>-4.7490000000000094</v>
      </c>
      <c r="K79" s="54">
        <f t="shared" si="10"/>
        <v>-3.6189999999999998</v>
      </c>
      <c r="L79" s="54">
        <f t="shared" si="10"/>
        <v>0.89799999999998192</v>
      </c>
      <c r="M79" s="54">
        <f t="shared" si="10"/>
        <v>2.4669999999999987</v>
      </c>
      <c r="N79" s="54">
        <f t="shared" si="10"/>
        <v>5.5919999999999845</v>
      </c>
      <c r="O79" s="54">
        <f t="shared" si="10"/>
        <v>4.6819999999999879</v>
      </c>
      <c r="P79" s="54">
        <f t="shared" si="10"/>
        <v>5.8669999999999902</v>
      </c>
      <c r="Q79" s="54">
        <f t="shared" si="10"/>
        <v>7.0689999999999884</v>
      </c>
      <c r="R79" s="54">
        <f t="shared" si="10"/>
        <v>10.694000000000017</v>
      </c>
      <c r="S79" s="54">
        <f t="shared" si="10"/>
        <v>12.073999999999984</v>
      </c>
    </row>
    <row r="80" spans="1:19" x14ac:dyDescent="0.2">
      <c r="A80" s="3" t="s">
        <v>271</v>
      </c>
      <c r="F80" s="21">
        <v>-5.2139999999999995</v>
      </c>
      <c r="G80" s="21">
        <v>-4.9220000000000006</v>
      </c>
      <c r="H80" s="21">
        <v>-5.4370000000000003</v>
      </c>
      <c r="I80" s="21">
        <v>-5.8649999999999993</v>
      </c>
      <c r="J80" s="21">
        <v>-5.9960000000000004</v>
      </c>
      <c r="K80" s="21">
        <v>-5.766</v>
      </c>
      <c r="L80" s="21">
        <v>-5.1689999999999996</v>
      </c>
      <c r="M80" s="21">
        <v>-5.5030000000000001</v>
      </c>
      <c r="N80" s="21">
        <v>-6.1769999999999996</v>
      </c>
      <c r="O80" s="24">
        <v>-7.6189999999999998</v>
      </c>
      <c r="P80" s="24">
        <v>-7.4610000000000003</v>
      </c>
      <c r="Q80" s="24">
        <v>-6.6180000000000003</v>
      </c>
      <c r="R80" s="24">
        <v>-6.5190000000000001</v>
      </c>
      <c r="S80" s="24">
        <v>-6.09</v>
      </c>
    </row>
    <row r="81" spans="1:19" x14ac:dyDescent="0.2">
      <c r="A81" s="3" t="s">
        <v>272</v>
      </c>
      <c r="F81" s="21">
        <v>-8.5410000000000004</v>
      </c>
      <c r="G81" s="21">
        <v>-6.0799999999999983</v>
      </c>
      <c r="H81" s="21">
        <v>-1.6480000000000032</v>
      </c>
      <c r="I81" s="21">
        <v>2.0919999999999987</v>
      </c>
      <c r="J81" s="21">
        <v>-6.7759999999999962</v>
      </c>
      <c r="K81" s="21">
        <v>0.42399999999999949</v>
      </c>
      <c r="L81" s="21">
        <v>6.3419999999999996</v>
      </c>
      <c r="M81" s="21">
        <v>-5.7249999999999996</v>
      </c>
      <c r="N81" s="21">
        <v>-4.9119999999999999</v>
      </c>
      <c r="O81" s="24">
        <v>2.8420000000000001</v>
      </c>
      <c r="P81" s="24">
        <v>-5.5579999999999998</v>
      </c>
      <c r="Q81" s="24">
        <v>4.7130000000000001</v>
      </c>
      <c r="R81" s="24">
        <v>1.6619999999999999</v>
      </c>
      <c r="S81" s="24">
        <v>-3.665</v>
      </c>
    </row>
    <row r="82" spans="1:19" x14ac:dyDescent="0.2">
      <c r="A82" s="3" t="s">
        <v>273</v>
      </c>
      <c r="F82" s="21">
        <v>-0.23200000000000001</v>
      </c>
      <c r="G82" s="21">
        <v>-0.31999999999999995</v>
      </c>
      <c r="H82" s="21">
        <v>-0.433</v>
      </c>
      <c r="I82" s="21">
        <v>-0.377</v>
      </c>
      <c r="J82" s="21">
        <v>-0.6</v>
      </c>
      <c r="K82" s="21">
        <v>-0.56699999999999995</v>
      </c>
      <c r="L82" s="21">
        <v>-0.58099999999999996</v>
      </c>
      <c r="M82" s="21">
        <v>-0.65800000000000003</v>
      </c>
      <c r="N82" s="21">
        <v>-0.63100000000000001</v>
      </c>
      <c r="O82" s="24">
        <v>-0.79300000000000004</v>
      </c>
      <c r="P82" s="24">
        <v>-0.68</v>
      </c>
      <c r="Q82" s="24">
        <v>-0.498</v>
      </c>
      <c r="R82" s="24">
        <v>-0.48499999999999999</v>
      </c>
      <c r="S82" s="24">
        <v>-0.46300000000000002</v>
      </c>
    </row>
    <row r="83" spans="1:19" x14ac:dyDescent="0.2">
      <c r="A83" s="3" t="s">
        <v>274</v>
      </c>
      <c r="F83" s="21">
        <v>-0.74399999999999977</v>
      </c>
      <c r="G83" s="21">
        <v>-2.6459999999999999</v>
      </c>
      <c r="H83" s="21">
        <v>-1.129</v>
      </c>
      <c r="I83" s="21">
        <v>-0.31000000000000005</v>
      </c>
      <c r="J83" s="21">
        <v>-1.0030000000000001</v>
      </c>
      <c r="K83" s="21">
        <v>-1.284</v>
      </c>
      <c r="L83" s="21">
        <v>-1.405</v>
      </c>
      <c r="M83" s="21">
        <v>-1.5289999999999999</v>
      </c>
      <c r="N83" s="21">
        <v>-1.6859999999999999</v>
      </c>
      <c r="O83" s="24">
        <v>-1.9870000000000001</v>
      </c>
      <c r="P83" s="24">
        <v>-1.5269999999999999</v>
      </c>
      <c r="Q83" s="24">
        <v>-1.6080000000000001</v>
      </c>
      <c r="R83" s="24">
        <v>-1.5740000000000001</v>
      </c>
      <c r="S83" s="24">
        <v>-1.571</v>
      </c>
    </row>
    <row r="84" spans="1:19" x14ac:dyDescent="0.2">
      <c r="A84" s="3" t="s">
        <v>275</v>
      </c>
      <c r="F84" s="21">
        <v>-0.29499999999999998</v>
      </c>
      <c r="G84" s="21">
        <v>-0.36299999999999999</v>
      </c>
      <c r="H84" s="21">
        <f>-0.399-0.69</f>
        <v>-1.089</v>
      </c>
      <c r="I84" s="21">
        <v>-0.19800000000000001</v>
      </c>
      <c r="J84" s="21">
        <f>0.021+0.152</f>
        <v>0.17299999999999999</v>
      </c>
      <c r="K84" s="21">
        <v>-0.11499999999999999</v>
      </c>
      <c r="L84" s="21">
        <f>0.28+1.547</f>
        <v>1.827</v>
      </c>
      <c r="M84" s="21">
        <f>0.073+2.186</f>
        <v>2.2589999999999999</v>
      </c>
      <c r="N84" s="21">
        <v>0.73199999999999998</v>
      </c>
      <c r="O84" s="24">
        <v>-1.2999999999999999E-2</v>
      </c>
      <c r="P84" s="24">
        <v>7.4999999999999997E-2</v>
      </c>
      <c r="Q84" s="24">
        <v>6.9000000000000006E-2</v>
      </c>
      <c r="R84" s="24">
        <v>-6.0000000000000001E-3</v>
      </c>
      <c r="S84" s="24">
        <v>3.2000000000000001E-2</v>
      </c>
    </row>
    <row r="85" spans="1:19" x14ac:dyDescent="0.2">
      <c r="A85" s="31" t="s">
        <v>713</v>
      </c>
      <c r="F85" s="54">
        <f t="shared" ref="F85:S85" si="11">SUM(F$80:F$84)-SUM(F$123-E$123,F$124-E$124)</f>
        <v>-15.025999999999998</v>
      </c>
      <c r="G85" s="54">
        <f t="shared" si="11"/>
        <v>-14.331</v>
      </c>
      <c r="H85" s="54">
        <f t="shared" si="11"/>
        <v>-9.7360000000000042</v>
      </c>
      <c r="I85" s="54">
        <f t="shared" si="11"/>
        <v>-4.6580000000000013</v>
      </c>
      <c r="J85" s="54">
        <f t="shared" si="11"/>
        <v>-14.201999999999996</v>
      </c>
      <c r="K85" s="54">
        <f t="shared" si="11"/>
        <v>-7.3080000000000007</v>
      </c>
      <c r="L85" s="54">
        <f t="shared" si="11"/>
        <v>1.014</v>
      </c>
      <c r="M85" s="54">
        <f t="shared" si="11"/>
        <v>-11.155999999999999</v>
      </c>
      <c r="N85" s="54">
        <f t="shared" si="11"/>
        <v>-12.673999999999999</v>
      </c>
      <c r="O85" s="54">
        <f t="shared" si="11"/>
        <v>-7.4659999999999993</v>
      </c>
      <c r="P85" s="54">
        <f t="shared" si="11"/>
        <v>-15.872</v>
      </c>
      <c r="Q85" s="54">
        <f t="shared" si="11"/>
        <v>-4.6830000000000007</v>
      </c>
      <c r="R85" s="54">
        <f t="shared" si="11"/>
        <v>-7.6070000000000011</v>
      </c>
      <c r="S85" s="54">
        <f t="shared" si="11"/>
        <v>-12.619999999999997</v>
      </c>
    </row>
    <row r="86" spans="1:19" x14ac:dyDescent="0.2">
      <c r="A86" s="31" t="s">
        <v>276</v>
      </c>
      <c r="F86" s="54">
        <f t="shared" ref="F86:S86" si="12">SUM(F$79,F$85)</f>
        <v>-2.5660000000000114</v>
      </c>
      <c r="G86" s="54">
        <f t="shared" si="12"/>
        <v>-2.5639999999999894</v>
      </c>
      <c r="H86" s="54">
        <f t="shared" si="12"/>
        <v>-6.257000000000005</v>
      </c>
      <c r="I86" s="54">
        <f t="shared" si="12"/>
        <v>-5.0450000000000017</v>
      </c>
      <c r="J86" s="54">
        <f t="shared" si="12"/>
        <v>-18.951000000000008</v>
      </c>
      <c r="K86" s="54">
        <f t="shared" si="12"/>
        <v>-10.927</v>
      </c>
      <c r="L86" s="54">
        <f t="shared" si="12"/>
        <v>1.9119999999999819</v>
      </c>
      <c r="M86" s="54">
        <f t="shared" si="12"/>
        <v>-8.6890000000000001</v>
      </c>
      <c r="N86" s="54">
        <f t="shared" si="12"/>
        <v>-7.0820000000000149</v>
      </c>
      <c r="O86" s="54">
        <f t="shared" si="12"/>
        <v>-2.7840000000000114</v>
      </c>
      <c r="P86" s="54">
        <f t="shared" si="12"/>
        <v>-10.00500000000001</v>
      </c>
      <c r="Q86" s="54">
        <f t="shared" si="12"/>
        <v>2.3859999999999877</v>
      </c>
      <c r="R86" s="54">
        <f t="shared" si="12"/>
        <v>3.0870000000000157</v>
      </c>
      <c r="S86" s="54">
        <f t="shared" si="12"/>
        <v>-0.54600000000001359</v>
      </c>
    </row>
    <row r="87" spans="1:19" x14ac:dyDescent="0.2">
      <c r="A87" s="3" t="s">
        <v>277</v>
      </c>
      <c r="F87" s="21">
        <v>8.1000000000000003E-2</v>
      </c>
      <c r="G87" s="21">
        <v>8.5999999999999993E-2</v>
      </c>
      <c r="H87" s="21">
        <v>0.47499999999999998</v>
      </c>
      <c r="I87" s="21">
        <v>1.4999999999999999E-2</v>
      </c>
      <c r="J87" s="21">
        <v>0.23400000000000001</v>
      </c>
      <c r="K87" s="21">
        <v>0.20300000000000029</v>
      </c>
      <c r="L87" s="21">
        <v>0.23400000000000001</v>
      </c>
      <c r="M87" s="21">
        <v>0.27400000000000002</v>
      </c>
      <c r="N87" s="21">
        <v>0.372</v>
      </c>
      <c r="O87" s="24">
        <v>0.214</v>
      </c>
      <c r="P87" s="24">
        <v>0.16300000000000001</v>
      </c>
      <c r="Q87" s="24">
        <v>0.17</v>
      </c>
      <c r="R87" s="24">
        <v>0.17399999999999999</v>
      </c>
      <c r="S87" s="24">
        <v>0.18</v>
      </c>
    </row>
    <row r="88" spans="1:19" x14ac:dyDescent="0.2">
      <c r="A88" s="3" t="s">
        <v>278</v>
      </c>
      <c r="F88" s="21">
        <v>-3.7569999999999997</v>
      </c>
      <c r="G88" s="21">
        <v>1.6740000000000002</v>
      </c>
      <c r="H88" s="21">
        <v>2.3439999999999999</v>
      </c>
      <c r="I88" s="21">
        <v>7.157</v>
      </c>
      <c r="J88" s="21">
        <v>19.231000000000002</v>
      </c>
      <c r="K88" s="21">
        <v>7.5539999999999994</v>
      </c>
      <c r="L88" s="21">
        <v>5.476</v>
      </c>
      <c r="M88" s="21">
        <v>5.52</v>
      </c>
      <c r="N88" s="21">
        <v>1.548</v>
      </c>
      <c r="O88" s="24">
        <v>6.6130000000000004</v>
      </c>
      <c r="P88" s="24">
        <v>9.3179999999999996</v>
      </c>
      <c r="Q88" s="24">
        <v>-2.6</v>
      </c>
      <c r="R88" s="24">
        <v>-2.87</v>
      </c>
      <c r="S88" s="24">
        <v>1.127</v>
      </c>
    </row>
    <row r="89" spans="1:19" x14ac:dyDescent="0.2">
      <c r="A89" s="3" t="s">
        <v>279</v>
      </c>
      <c r="F89" s="21">
        <v>1.7799999999999998</v>
      </c>
      <c r="G89" s="21">
        <v>1.099</v>
      </c>
      <c r="H89" s="21">
        <v>-1.8359999999999999</v>
      </c>
      <c r="I89" s="21">
        <v>3.2960000000000003</v>
      </c>
      <c r="J89" s="21">
        <v>1.8090000000000002</v>
      </c>
      <c r="K89" s="21">
        <v>-6.4220000000000006</v>
      </c>
      <c r="L89" s="21">
        <v>-2.9260000000000002</v>
      </c>
      <c r="M89" s="21">
        <v>1.4419999999999999</v>
      </c>
      <c r="N89" s="21">
        <v>-2.3210000000000002</v>
      </c>
      <c r="O89" s="24">
        <v>-1.0669999999999999</v>
      </c>
      <c r="P89" s="24">
        <v>-0.48099999999999998</v>
      </c>
      <c r="Q89" s="24">
        <v>-1.202</v>
      </c>
      <c r="R89" s="24">
        <v>-1E-3</v>
      </c>
      <c r="S89" s="24">
        <v>2.4E-2</v>
      </c>
    </row>
    <row r="90" spans="1:19" x14ac:dyDescent="0.2">
      <c r="A90" s="3" t="s">
        <v>280</v>
      </c>
      <c r="F90" s="21">
        <v>5.0279999999999996</v>
      </c>
      <c r="G90" s="21">
        <v>-0.67200000000000015</v>
      </c>
      <c r="H90" s="21">
        <v>7.7690000000000001</v>
      </c>
      <c r="I90" s="21">
        <v>-3.7510000000000003</v>
      </c>
      <c r="J90" s="21">
        <v>0.32200000000000006</v>
      </c>
      <c r="K90" s="21">
        <v>10.353</v>
      </c>
      <c r="L90" s="21">
        <v>-0.63400000000000001</v>
      </c>
      <c r="M90" s="21">
        <v>-0.83199999999999996</v>
      </c>
      <c r="N90" s="21">
        <v>7.077</v>
      </c>
      <c r="O90" s="24">
        <v>-0.79600000000000004</v>
      </c>
      <c r="P90" s="24">
        <v>1.4590000000000001</v>
      </c>
      <c r="Q90" s="24">
        <v>2.33</v>
      </c>
      <c r="R90" s="24">
        <v>1.2529999999999999</v>
      </c>
      <c r="S90" s="24">
        <v>0.97799999999999998</v>
      </c>
    </row>
    <row r="91" spans="1:19" x14ac:dyDescent="0.2">
      <c r="A91" s="3" t="s">
        <v>281</v>
      </c>
      <c r="F91" s="21">
        <v>-3.6999999999999998E-2</v>
      </c>
      <c r="G91" s="21">
        <v>-2.5000000000000001E-2</v>
      </c>
      <c r="H91" s="21">
        <v>-1.7000000000000001E-2</v>
      </c>
      <c r="I91" s="21">
        <v>-1.2999999999999999E-2</v>
      </c>
      <c r="J91" s="21">
        <v>-1.2999999999999999E-2</v>
      </c>
      <c r="K91" s="21">
        <v>-7.0000000000000001E-3</v>
      </c>
      <c r="L91" s="21">
        <v>-0.02</v>
      </c>
      <c r="M91" s="21">
        <v>-0.16600000000000001</v>
      </c>
      <c r="N91" s="21">
        <v>-0.47799999999999998</v>
      </c>
      <c r="O91" s="24">
        <v>-0.49399999999999999</v>
      </c>
      <c r="P91" s="24">
        <v>-0.50700000000000001</v>
      </c>
      <c r="Q91" s="24">
        <v>-0.51500000000000001</v>
      </c>
      <c r="R91" s="24">
        <v>-0.53300000000000003</v>
      </c>
      <c r="S91" s="24">
        <v>-0.55100000000000005</v>
      </c>
    </row>
    <row r="92" spans="1:19" x14ac:dyDescent="0.2">
      <c r="A92" s="31" t="s">
        <v>282</v>
      </c>
      <c r="F92" s="54">
        <f>SUM(F$87:F$91)</f>
        <v>3.0949999999999998</v>
      </c>
      <c r="G92" s="54">
        <f t="shared" ref="G92:S92" si="13">SUM(G$87:G$91)</f>
        <v>2.1619999999999999</v>
      </c>
      <c r="H92" s="54">
        <f t="shared" si="13"/>
        <v>8.7350000000000012</v>
      </c>
      <c r="I92" s="54">
        <f t="shared" si="13"/>
        <v>6.7039999999999997</v>
      </c>
      <c r="J92" s="54">
        <f t="shared" si="13"/>
        <v>21.583000000000002</v>
      </c>
      <c r="K92" s="54">
        <f t="shared" si="13"/>
        <v>11.680999999999999</v>
      </c>
      <c r="L92" s="54">
        <f t="shared" si="13"/>
        <v>2.13</v>
      </c>
      <c r="M92" s="54">
        <f t="shared" si="13"/>
        <v>6.2379999999999995</v>
      </c>
      <c r="N92" s="54">
        <f t="shared" si="13"/>
        <v>6.1980000000000004</v>
      </c>
      <c r="O92" s="54">
        <f t="shared" si="13"/>
        <v>4.4700000000000006</v>
      </c>
      <c r="P92" s="54">
        <f t="shared" si="13"/>
        <v>9.952</v>
      </c>
      <c r="Q92" s="54">
        <f t="shared" si="13"/>
        <v>-1.8170000000000002</v>
      </c>
      <c r="R92" s="54">
        <f t="shared" si="13"/>
        <v>-1.9770000000000003</v>
      </c>
      <c r="S92" s="54">
        <f t="shared" si="13"/>
        <v>1.758</v>
      </c>
    </row>
    <row r="93" spans="1:19" x14ac:dyDescent="0.2">
      <c r="A93" s="31" t="s">
        <v>283</v>
      </c>
      <c r="F93" s="54">
        <f t="shared" ref="F93:S93" si="14">SUM(F$79,F$85,F$92)</f>
        <v>0.52899999999998837</v>
      </c>
      <c r="G93" s="54">
        <f t="shared" si="14"/>
        <v>-0.40199999999998948</v>
      </c>
      <c r="H93" s="54">
        <f t="shared" si="14"/>
        <v>2.4779999999999962</v>
      </c>
      <c r="I93" s="54">
        <f t="shared" si="14"/>
        <v>1.658999999999998</v>
      </c>
      <c r="J93" s="54">
        <f t="shared" si="14"/>
        <v>2.6319999999999943</v>
      </c>
      <c r="K93" s="54">
        <f t="shared" si="14"/>
        <v>0.75399999999999956</v>
      </c>
      <c r="L93" s="54">
        <f t="shared" si="14"/>
        <v>4.0419999999999821</v>
      </c>
      <c r="M93" s="54">
        <f t="shared" si="14"/>
        <v>-2.4510000000000005</v>
      </c>
      <c r="N93" s="54">
        <f t="shared" si="14"/>
        <v>-0.88400000000001455</v>
      </c>
      <c r="O93" s="54">
        <f t="shared" si="14"/>
        <v>1.6859999999999893</v>
      </c>
      <c r="P93" s="54">
        <f t="shared" si="14"/>
        <v>-5.3000000000009706E-2</v>
      </c>
      <c r="Q93" s="54">
        <f t="shared" si="14"/>
        <v>0.56899999999998752</v>
      </c>
      <c r="R93" s="54">
        <f t="shared" si="14"/>
        <v>1.1100000000000154</v>
      </c>
      <c r="S93" s="54">
        <f t="shared" si="14"/>
        <v>1.2119999999999864</v>
      </c>
    </row>
    <row r="94" spans="1:19" x14ac:dyDescent="0.2">
      <c r="A94" s="3" t="s">
        <v>284</v>
      </c>
      <c r="F94" s="21">
        <v>-4.2999999999999997E-2</v>
      </c>
      <c r="G94" s="21">
        <f>0.044-0.001</f>
        <v>4.2999999999999997E-2</v>
      </c>
      <c r="H94" s="21">
        <v>-1.4E-2</v>
      </c>
      <c r="I94" s="21">
        <v>-0.153</v>
      </c>
      <c r="J94" s="21">
        <v>-0.60499999999999998</v>
      </c>
      <c r="K94" s="21">
        <v>0.13100000000000001</v>
      </c>
      <c r="L94" s="21">
        <v>0.19600000000000001</v>
      </c>
      <c r="M94" s="21">
        <v>-0.58499999999999996</v>
      </c>
      <c r="N94" s="21">
        <v>0.97799999999999998</v>
      </c>
      <c r="O94" s="24">
        <v>0.49</v>
      </c>
      <c r="P94" s="24">
        <v>0</v>
      </c>
      <c r="Q94" s="24">
        <v>0</v>
      </c>
      <c r="R94" s="24">
        <v>0</v>
      </c>
      <c r="S94" s="24">
        <v>0</v>
      </c>
    </row>
    <row r="95" spans="1:19" x14ac:dyDescent="0.2">
      <c r="A95" s="2" t="s">
        <v>285</v>
      </c>
      <c r="F95" s="7"/>
      <c r="G95" s="7" t="str">
        <f>IF(ROUND(SUM(G$113,-F$113)-SUM(G$93:G$94),3)=0,"OK","ERROR")</f>
        <v>OK</v>
      </c>
      <c r="H95" s="7" t="str">
        <f t="shared" ref="H95:S95" si="15">IF(ROUND(SUM(H$113,-G$113)-SUM(H$93:H$94),3)=0,"OK","ERROR")</f>
        <v>OK</v>
      </c>
      <c r="I95" s="7" t="str">
        <f t="shared" si="15"/>
        <v>OK</v>
      </c>
      <c r="J95" s="7" t="str">
        <f t="shared" si="15"/>
        <v>OK</v>
      </c>
      <c r="K95" s="7" t="str">
        <f t="shared" si="15"/>
        <v>OK</v>
      </c>
      <c r="L95" s="7" t="str">
        <f t="shared" si="15"/>
        <v>OK</v>
      </c>
      <c r="M95" s="7" t="str">
        <f t="shared" si="15"/>
        <v>OK</v>
      </c>
      <c r="N95" s="7" t="str">
        <f t="shared" si="15"/>
        <v>OK</v>
      </c>
      <c r="O95" s="7" t="str">
        <f t="shared" si="15"/>
        <v>OK</v>
      </c>
      <c r="P95" s="7" t="str">
        <f t="shared" si="15"/>
        <v>OK</v>
      </c>
      <c r="Q95" s="7" t="str">
        <f t="shared" si="15"/>
        <v>OK</v>
      </c>
      <c r="R95" s="7" t="str">
        <f t="shared" si="15"/>
        <v>OK</v>
      </c>
      <c r="S95" s="7" t="str">
        <f t="shared" si="15"/>
        <v>OK</v>
      </c>
    </row>
    <row r="96" spans="1:19" x14ac:dyDescent="0.2">
      <c r="A96" s="31" t="s">
        <v>286</v>
      </c>
    </row>
    <row r="97" spans="1:19" x14ac:dyDescent="0.2">
      <c r="A97" s="3" t="s">
        <v>287</v>
      </c>
      <c r="F97" s="54">
        <f t="shared" ref="F97:S97" si="16">SUM(F$79,F$29)</f>
        <v>14.522999999999987</v>
      </c>
      <c r="G97" s="54">
        <f t="shared" si="16"/>
        <v>8.1580000000000101</v>
      </c>
      <c r="H97" s="54">
        <f t="shared" si="16"/>
        <v>-3.3450000000000006</v>
      </c>
      <c r="I97" s="54">
        <f t="shared" si="16"/>
        <v>1.1919999999999993</v>
      </c>
      <c r="J97" s="54">
        <f t="shared" si="16"/>
        <v>4.9999999999990052E-2</v>
      </c>
      <c r="K97" s="54">
        <f t="shared" si="16"/>
        <v>-9.5090000000000003</v>
      </c>
      <c r="L97" s="54">
        <f t="shared" si="16"/>
        <v>11.841999999999981</v>
      </c>
      <c r="M97" s="54">
        <f t="shared" si="16"/>
        <v>7.847999999999999</v>
      </c>
      <c r="N97" s="54">
        <f t="shared" si="16"/>
        <v>9.9209999999999852</v>
      </c>
      <c r="O97" s="54">
        <f t="shared" si="16"/>
        <v>5.1149999999999878</v>
      </c>
      <c r="P97" s="54">
        <f t="shared" si="16"/>
        <v>7.9569999999999901</v>
      </c>
      <c r="Q97" s="54">
        <f t="shared" si="16"/>
        <v>9.2359999999999882</v>
      </c>
      <c r="R97" s="54">
        <f t="shared" si="16"/>
        <v>13.106000000000018</v>
      </c>
      <c r="S97" s="54">
        <f t="shared" si="16"/>
        <v>14.637999999999984</v>
      </c>
    </row>
    <row r="98" spans="1:19" x14ac:dyDescent="0.2">
      <c r="A98" s="32" t="s">
        <v>288</v>
      </c>
      <c r="F98" s="21">
        <v>-0.629</v>
      </c>
      <c r="G98" s="21">
        <v>-0.55900000000000005</v>
      </c>
      <c r="H98" s="21">
        <v>-0.63</v>
      </c>
      <c r="I98" s="21">
        <v>-0.85499999999999998</v>
      </c>
      <c r="J98" s="21">
        <v>-0.80700000000000005</v>
      </c>
      <c r="K98" s="21">
        <v>-0.85</v>
      </c>
      <c r="L98" s="21">
        <v>-0.68400000000000005</v>
      </c>
      <c r="M98" s="21">
        <v>-0.78900000000000003</v>
      </c>
      <c r="N98" s="21">
        <v>-0.69599999999999995</v>
      </c>
      <c r="O98" s="24">
        <v>-0.77500000000000002</v>
      </c>
      <c r="P98" s="24">
        <v>-0.78100000000000003</v>
      </c>
      <c r="Q98" s="24">
        <v>-0.78300000000000003</v>
      </c>
      <c r="R98" s="24">
        <v>-0.78300000000000003</v>
      </c>
      <c r="S98" s="24">
        <v>-0.73699999999999999</v>
      </c>
    </row>
    <row r="99" spans="1:19" x14ac:dyDescent="0.2">
      <c r="A99" s="32" t="s">
        <v>289</v>
      </c>
      <c r="F99" s="21">
        <v>3.6999999999999998E-2</v>
      </c>
      <c r="G99" s="21">
        <v>0.21299999999999999</v>
      </c>
      <c r="H99" s="21">
        <v>-0.85099999999999998</v>
      </c>
      <c r="I99" s="21">
        <v>3.3000000000000002E-2</v>
      </c>
      <c r="J99" s="21">
        <v>0.105</v>
      </c>
      <c r="K99" s="21">
        <v>0.248</v>
      </c>
      <c r="L99" s="21">
        <v>-0.497</v>
      </c>
      <c r="M99" s="21">
        <v>-4.7E-2</v>
      </c>
      <c r="N99" s="21">
        <v>-0.30499999999999999</v>
      </c>
      <c r="O99" s="24">
        <v>-0.12</v>
      </c>
      <c r="P99" s="24">
        <v>-0.126</v>
      </c>
      <c r="Q99" s="24">
        <v>-0.129</v>
      </c>
      <c r="R99" s="24">
        <v>-0.13600000000000001</v>
      </c>
      <c r="S99" s="24">
        <v>-0.13800000000000001</v>
      </c>
    </row>
    <row r="100" spans="1:19" x14ac:dyDescent="0.2">
      <c r="A100" s="3" t="s">
        <v>290</v>
      </c>
      <c r="F100" s="21">
        <v>1.2999999999999999E-2</v>
      </c>
      <c r="G100" s="21">
        <v>2E-3</v>
      </c>
      <c r="H100" s="21">
        <v>-4.1000000000000002E-2</v>
      </c>
      <c r="I100" s="21">
        <v>0.28399999999999997</v>
      </c>
      <c r="J100" s="21">
        <v>0.35799999999999998</v>
      </c>
      <c r="K100" s="21">
        <v>0.51200000000000001</v>
      </c>
      <c r="L100" s="21">
        <v>0.38500000000000001</v>
      </c>
      <c r="M100" s="21">
        <v>0.442</v>
      </c>
      <c r="N100" s="21">
        <v>0.373</v>
      </c>
      <c r="O100" s="24">
        <v>0.46300000000000002</v>
      </c>
      <c r="P100" s="24">
        <v>0.50600000000000001</v>
      </c>
      <c r="Q100" s="24">
        <v>0.50800000000000001</v>
      </c>
      <c r="R100" s="24">
        <v>0.502</v>
      </c>
      <c r="S100" s="24">
        <v>0.49299999999999999</v>
      </c>
    </row>
    <row r="101" spans="1:19" x14ac:dyDescent="0.2">
      <c r="A101" s="3" t="s">
        <v>291</v>
      </c>
      <c r="F101" s="21">
        <v>-1.0980000000000001</v>
      </c>
      <c r="G101" s="21">
        <v>-1.3580000000000001</v>
      </c>
      <c r="H101" s="21">
        <v>-1.5920000000000001</v>
      </c>
      <c r="I101" s="21">
        <v>-0.97399999999999998</v>
      </c>
      <c r="J101" s="21">
        <v>-13.179</v>
      </c>
      <c r="K101" s="21">
        <v>1.07</v>
      </c>
      <c r="L101" s="21">
        <v>1.1060000000000001</v>
      </c>
      <c r="M101" s="21">
        <v>1.409</v>
      </c>
      <c r="N101" s="21">
        <v>0.746</v>
      </c>
      <c r="O101" s="24">
        <v>0.92500000000000004</v>
      </c>
      <c r="P101" s="24">
        <v>-0.11700000000000001</v>
      </c>
      <c r="Q101" s="24">
        <v>-0.81699999999999995</v>
      </c>
      <c r="R101" s="24">
        <v>-1.173</v>
      </c>
      <c r="S101" s="24">
        <v>-1.319</v>
      </c>
    </row>
    <row r="102" spans="1:19" x14ac:dyDescent="0.2">
      <c r="A102" s="3" t="s">
        <v>257</v>
      </c>
      <c r="F102" s="21">
        <v>0.17899999999999999</v>
      </c>
      <c r="G102" s="21">
        <v>0.40100000000000002</v>
      </c>
      <c r="H102" s="21">
        <v>0.21199999999999999</v>
      </c>
      <c r="I102" s="21">
        <v>0.22700000000000001</v>
      </c>
      <c r="J102" s="21">
        <v>0.13700000000000001</v>
      </c>
      <c r="K102" s="21">
        <v>0.28799999999999998</v>
      </c>
      <c r="L102" s="21">
        <v>0.33100000000000002</v>
      </c>
      <c r="M102" s="21">
        <v>0.20200000000000001</v>
      </c>
      <c r="N102" s="21">
        <v>0.69899999999999995</v>
      </c>
      <c r="O102" s="24">
        <v>-0.214</v>
      </c>
      <c r="P102" s="24">
        <v>-0.23699999999999999</v>
      </c>
      <c r="Q102" s="24">
        <v>-0.25900000000000001</v>
      </c>
      <c r="R102" s="24">
        <v>-0.254</v>
      </c>
      <c r="S102" s="24">
        <v>-0.307</v>
      </c>
    </row>
    <row r="103" spans="1:19" x14ac:dyDescent="0.2">
      <c r="A103" s="2" t="s">
        <v>292</v>
      </c>
      <c r="F103" s="54">
        <f t="shared" ref="F103:S103" si="17">SUM(F$98:F$102,-F$17)</f>
        <v>-4.8949999999999996</v>
      </c>
      <c r="G103" s="54">
        <f t="shared" si="17"/>
        <v>-4.9710000000000001</v>
      </c>
      <c r="H103" s="54">
        <f t="shared" si="17"/>
        <v>-7.206999999999999</v>
      </c>
      <c r="I103" s="54">
        <f t="shared" si="17"/>
        <v>-5.5140000000000002</v>
      </c>
      <c r="J103" s="54">
        <f t="shared" si="17"/>
        <v>-18.067999999999998</v>
      </c>
      <c r="K103" s="54">
        <f t="shared" si="17"/>
        <v>-5.0819999999999999</v>
      </c>
      <c r="L103" s="54">
        <f t="shared" si="17"/>
        <v>-4.1710000000000003</v>
      </c>
      <c r="M103" s="54">
        <f t="shared" si="17"/>
        <v>-3.6550000000000002</v>
      </c>
      <c r="N103" s="54">
        <f t="shared" si="17"/>
        <v>-4.0249999999999995</v>
      </c>
      <c r="O103" s="54">
        <f t="shared" si="17"/>
        <v>-4.657</v>
      </c>
      <c r="P103" s="54">
        <f t="shared" si="17"/>
        <v>-5.8680000000000003</v>
      </c>
      <c r="Q103" s="54">
        <f t="shared" si="17"/>
        <v>-6.7870000000000008</v>
      </c>
      <c r="R103" s="54">
        <f t="shared" si="17"/>
        <v>-7.2869999999999999</v>
      </c>
      <c r="S103" s="54">
        <f t="shared" si="17"/>
        <v>-7.5179999999999998</v>
      </c>
    </row>
    <row r="104" spans="1:19" x14ac:dyDescent="0.2">
      <c r="A104" s="3" t="s">
        <v>293</v>
      </c>
      <c r="F104" s="21">
        <v>-1.591</v>
      </c>
      <c r="G104" s="21">
        <v>2.1</v>
      </c>
      <c r="H104" s="21">
        <v>0.46100000000000002</v>
      </c>
      <c r="I104" s="21">
        <v>-0.33800000000000002</v>
      </c>
      <c r="J104" s="21">
        <v>6.6050000000000004</v>
      </c>
      <c r="K104" s="21">
        <v>-0.24199999999999999</v>
      </c>
      <c r="L104" s="21">
        <v>-1.302</v>
      </c>
      <c r="M104" s="21">
        <v>-1.5529999999999999</v>
      </c>
      <c r="N104" s="21">
        <v>0.14099999999999999</v>
      </c>
      <c r="O104" s="24">
        <v>2.8000000000000001E-2</v>
      </c>
      <c r="P104" s="24">
        <v>7.6999999999999999E-2</v>
      </c>
      <c r="Q104" s="24">
        <v>0.498</v>
      </c>
      <c r="R104" s="24">
        <v>0.66200000000000003</v>
      </c>
      <c r="S104" s="24">
        <v>0.64400000000000002</v>
      </c>
    </row>
    <row r="105" spans="1:19" x14ac:dyDescent="0.2">
      <c r="A105" s="3" t="s">
        <v>294</v>
      </c>
      <c r="F105" s="21">
        <v>6.0999999999999999E-2</v>
      </c>
      <c r="G105" s="21">
        <v>-0.17899999999999999</v>
      </c>
      <c r="H105" s="21">
        <v>1.6E-2</v>
      </c>
      <c r="I105" s="21">
        <v>-0.42</v>
      </c>
      <c r="J105" s="21">
        <v>-0.59899999999999998</v>
      </c>
      <c r="K105" s="21">
        <v>-0.17499999999999999</v>
      </c>
      <c r="L105" s="21">
        <v>0.25700000000000001</v>
      </c>
      <c r="M105" s="21">
        <v>0.14299999999999999</v>
      </c>
      <c r="N105" s="21">
        <v>0.19600000000000001</v>
      </c>
      <c r="O105" s="24">
        <v>0.51300000000000001</v>
      </c>
      <c r="P105" s="24">
        <v>0.42799999999999999</v>
      </c>
      <c r="Q105" s="24">
        <v>0.43099999999999999</v>
      </c>
      <c r="R105" s="24">
        <v>0.442</v>
      </c>
      <c r="S105" s="24">
        <v>0.155</v>
      </c>
    </row>
    <row r="106" spans="1:19" x14ac:dyDescent="0.2">
      <c r="A106" s="3" t="s">
        <v>295</v>
      </c>
      <c r="F106" s="21">
        <v>8.3000000000000004E-2</v>
      </c>
      <c r="G106" s="21">
        <v>0.13800000000000001</v>
      </c>
      <c r="H106" s="21">
        <v>0.11799999999999999</v>
      </c>
      <c r="I106" s="21">
        <v>7.8E-2</v>
      </c>
      <c r="J106" s="21">
        <v>0.14899999999999999</v>
      </c>
      <c r="K106" s="21">
        <v>-7.3999999999999996E-2</v>
      </c>
      <c r="L106" s="21">
        <v>-9.4E-2</v>
      </c>
      <c r="M106" s="21">
        <v>-4.1000000000000002E-2</v>
      </c>
      <c r="N106" s="21">
        <v>-0.105</v>
      </c>
      <c r="O106" s="24">
        <v>-2.7E-2</v>
      </c>
      <c r="P106" s="24">
        <v>-0.10199999999999999</v>
      </c>
      <c r="Q106" s="24">
        <v>-8.0000000000000002E-3</v>
      </c>
      <c r="R106" s="24">
        <v>-8.9999999999999993E-3</v>
      </c>
      <c r="S106" s="24">
        <v>-8.0000000000000002E-3</v>
      </c>
    </row>
    <row r="107" spans="1:19" x14ac:dyDescent="0.2">
      <c r="A107" s="3" t="s">
        <v>296</v>
      </c>
      <c r="F107" s="21">
        <v>-8.8999999999999996E-2</v>
      </c>
      <c r="G107" s="21">
        <v>7.6999999999999999E-2</v>
      </c>
      <c r="H107" s="21">
        <v>3.1E-2</v>
      </c>
      <c r="I107" s="21">
        <v>1.7999999999999999E-2</v>
      </c>
      <c r="J107" s="21">
        <v>3.9E-2</v>
      </c>
      <c r="K107" s="21">
        <v>3.2000000000000001E-2</v>
      </c>
      <c r="L107" s="21">
        <v>3.2000000000000001E-2</v>
      </c>
      <c r="M107" s="21">
        <v>3.9E-2</v>
      </c>
      <c r="N107" s="21">
        <v>-1.2E-2</v>
      </c>
      <c r="O107" s="24">
        <v>-0.05</v>
      </c>
      <c r="P107" s="24">
        <v>1E-3</v>
      </c>
      <c r="Q107" s="24">
        <v>-0.01</v>
      </c>
      <c r="R107" s="24">
        <v>1E-3</v>
      </c>
      <c r="S107" s="24">
        <v>7.0000000000000001E-3</v>
      </c>
    </row>
    <row r="108" spans="1:19" x14ac:dyDescent="0.2">
      <c r="A108" s="3" t="s">
        <v>297</v>
      </c>
      <c r="F108" s="21">
        <v>-7.2999999999999995E-2</v>
      </c>
      <c r="G108" s="21">
        <v>-0.32600000000000001</v>
      </c>
      <c r="H108" s="21">
        <v>-0.13400000000000001</v>
      </c>
      <c r="I108" s="21">
        <v>-0.20200000000000001</v>
      </c>
      <c r="J108" s="21">
        <v>-4.5999999999999999E-2</v>
      </c>
      <c r="K108" s="21">
        <v>-3.7999999999999999E-2</v>
      </c>
      <c r="L108" s="21">
        <v>-2E-3</v>
      </c>
      <c r="M108" s="21">
        <v>-0.248</v>
      </c>
      <c r="N108" s="21">
        <v>-0.14899999999999999</v>
      </c>
      <c r="O108" s="24">
        <v>-5.7000000000000002E-2</v>
      </c>
      <c r="P108" s="24">
        <v>-7.0000000000000001E-3</v>
      </c>
      <c r="Q108" s="24">
        <v>-1.2E-2</v>
      </c>
      <c r="R108" s="24">
        <v>-1.0999999999999999E-2</v>
      </c>
      <c r="S108" s="24">
        <v>-1.4999999999999999E-2</v>
      </c>
    </row>
    <row r="109" spans="1:19" x14ac:dyDescent="0.2">
      <c r="A109" s="3" t="s">
        <v>298</v>
      </c>
      <c r="F109" s="21">
        <v>3.0000000000000001E-3</v>
      </c>
      <c r="G109" s="21">
        <v>-2.613</v>
      </c>
      <c r="H109" s="21">
        <v>-0.44500000000000001</v>
      </c>
      <c r="I109" s="21">
        <v>0.67700000000000005</v>
      </c>
      <c r="J109" s="21">
        <v>-1.49</v>
      </c>
      <c r="K109" s="21">
        <v>0.191</v>
      </c>
      <c r="L109" s="21">
        <v>0.36299999999999999</v>
      </c>
      <c r="M109" s="21">
        <v>0.40600000000000003</v>
      </c>
      <c r="N109" s="21">
        <v>-0.19600000000000001</v>
      </c>
      <c r="O109" s="24">
        <v>-0.56699999999999995</v>
      </c>
      <c r="P109" s="24">
        <v>0.23899999999999999</v>
      </c>
      <c r="Q109" s="24">
        <v>5.5E-2</v>
      </c>
      <c r="R109" s="24">
        <v>-0.72599999999999998</v>
      </c>
      <c r="S109" s="24">
        <v>-0.111</v>
      </c>
    </row>
    <row r="110" spans="1:19" x14ac:dyDescent="0.2">
      <c r="A110" s="2" t="s">
        <v>299</v>
      </c>
      <c r="F110" s="54">
        <f>SUM(F$104:F$109)</f>
        <v>-1.6060000000000001</v>
      </c>
      <c r="G110" s="54">
        <f t="shared" ref="G110:S110" si="18">SUM(G$104:G$109)</f>
        <v>-0.80299999999999994</v>
      </c>
      <c r="H110" s="54">
        <f t="shared" si="18"/>
        <v>4.6999999999999986E-2</v>
      </c>
      <c r="I110" s="54">
        <f t="shared" si="18"/>
        <v>-0.18700000000000006</v>
      </c>
      <c r="J110" s="54">
        <f t="shared" si="18"/>
        <v>4.6579999999999995</v>
      </c>
      <c r="K110" s="54">
        <f t="shared" si="18"/>
        <v>-0.30599999999999994</v>
      </c>
      <c r="L110" s="54">
        <f t="shared" si="18"/>
        <v>-0.746</v>
      </c>
      <c r="M110" s="54">
        <f t="shared" si="18"/>
        <v>-1.254</v>
      </c>
      <c r="N110" s="54">
        <f t="shared" si="18"/>
        <v>-0.12500000000000003</v>
      </c>
      <c r="O110" s="54">
        <f t="shared" si="18"/>
        <v>-0.15999999999999992</v>
      </c>
      <c r="P110" s="54">
        <f t="shared" si="18"/>
        <v>0.63600000000000001</v>
      </c>
      <c r="Q110" s="54">
        <f t="shared" si="18"/>
        <v>0.95400000000000007</v>
      </c>
      <c r="R110" s="54">
        <f t="shared" si="18"/>
        <v>0.35900000000000021</v>
      </c>
      <c r="S110" s="54">
        <f t="shared" si="18"/>
        <v>0.67200000000000004</v>
      </c>
    </row>
    <row r="111" spans="1:19" x14ac:dyDescent="0.2">
      <c r="A111" s="2" t="s">
        <v>301</v>
      </c>
      <c r="F111" s="7" t="str">
        <f t="shared" ref="F111:K111" si="19">IF(ROUND(F$31-SUM(F$97,F$103,F$110),3)=0,"OK","ERROR")</f>
        <v>OK</v>
      </c>
      <c r="G111" s="7" t="str">
        <f t="shared" si="19"/>
        <v>OK</v>
      </c>
      <c r="H111" s="7" t="str">
        <f t="shared" si="19"/>
        <v>OK</v>
      </c>
      <c r="I111" s="7" t="str">
        <f t="shared" si="19"/>
        <v>OK</v>
      </c>
      <c r="J111" s="7" t="str">
        <f t="shared" si="19"/>
        <v>OK</v>
      </c>
      <c r="K111" s="7" t="str">
        <f t="shared" si="19"/>
        <v>OK</v>
      </c>
      <c r="L111" s="7" t="str">
        <f>IF(ROUND(L$31-SUM(L$97,L$103,L$110),3)=0,"OK","ERROR")</f>
        <v>OK</v>
      </c>
      <c r="M111" s="7" t="str">
        <f>IF(ROUND(M$31-SUM(M$97,M$103,M$110),3)=0,"OK","ERROR")</f>
        <v>OK</v>
      </c>
      <c r="N111" s="7" t="str">
        <f t="shared" ref="N111:S111" si="20">IF(ROUND(N$31-SUM(N$97,N$103,N$110),3)=0,"OK","ERROR")</f>
        <v>OK</v>
      </c>
      <c r="O111" s="7" t="str">
        <f t="shared" si="20"/>
        <v>OK</v>
      </c>
      <c r="P111" s="7" t="str">
        <f t="shared" si="20"/>
        <v>OK</v>
      </c>
      <c r="Q111" s="7" t="str">
        <f t="shared" si="20"/>
        <v>OK</v>
      </c>
      <c r="R111" s="7" t="str">
        <f t="shared" si="20"/>
        <v>OK</v>
      </c>
      <c r="S111" s="7" t="str">
        <f t="shared" si="20"/>
        <v>OK</v>
      </c>
    </row>
    <row r="112" spans="1:19" x14ac:dyDescent="0.2">
      <c r="A112" s="31" t="s">
        <v>348</v>
      </c>
    </row>
    <row r="113" spans="1:19" x14ac:dyDescent="0.2">
      <c r="A113" s="3" t="s">
        <v>302</v>
      </c>
      <c r="F113" s="21">
        <v>4.1630000000000003</v>
      </c>
      <c r="G113" s="21">
        <v>3.8039999999999998</v>
      </c>
      <c r="H113" s="21">
        <v>6.2679999999999998</v>
      </c>
      <c r="I113" s="21">
        <v>7.774</v>
      </c>
      <c r="J113" s="21">
        <v>9.8010000000000002</v>
      </c>
      <c r="K113" s="21">
        <v>10.686</v>
      </c>
      <c r="L113" s="21">
        <v>14.923999999999999</v>
      </c>
      <c r="M113" s="21">
        <v>11.888</v>
      </c>
      <c r="N113" s="21">
        <v>11.981999999999999</v>
      </c>
      <c r="O113" s="24">
        <v>14.157999999999999</v>
      </c>
      <c r="P113" s="24">
        <v>14.105</v>
      </c>
      <c r="Q113" s="24">
        <v>14.673999999999999</v>
      </c>
      <c r="R113" s="24">
        <v>15.784000000000001</v>
      </c>
      <c r="S113" s="24">
        <v>16.995999999999999</v>
      </c>
    </row>
    <row r="114" spans="1:19" x14ac:dyDescent="0.2">
      <c r="A114" s="3" t="s">
        <v>303</v>
      </c>
      <c r="F114" s="21">
        <v>12.058</v>
      </c>
      <c r="G114" s="21">
        <v>14.157999999999999</v>
      </c>
      <c r="H114" s="21">
        <v>14.619</v>
      </c>
      <c r="I114" s="21">
        <v>13.884</v>
      </c>
      <c r="J114" s="21">
        <v>21.69</v>
      </c>
      <c r="K114" s="21">
        <v>20.956</v>
      </c>
      <c r="L114" s="21">
        <v>19.882999999999999</v>
      </c>
      <c r="M114" s="21">
        <v>18.221</v>
      </c>
      <c r="N114" s="21">
        <v>17.602</v>
      </c>
      <c r="O114" s="24">
        <v>17.827999999999999</v>
      </c>
      <c r="P114" s="24">
        <v>17.829999999999998</v>
      </c>
      <c r="Q114" s="24">
        <v>18.370999999999999</v>
      </c>
      <c r="R114" s="24">
        <v>19.081</v>
      </c>
      <c r="S114" s="24">
        <v>19.777000000000001</v>
      </c>
    </row>
    <row r="115" spans="1:19" x14ac:dyDescent="0.2">
      <c r="A115" s="3" t="s">
        <v>304</v>
      </c>
      <c r="F115" s="21">
        <v>33.19</v>
      </c>
      <c r="G115" s="21">
        <v>41.189</v>
      </c>
      <c r="H115" s="21">
        <v>45.707999999999998</v>
      </c>
      <c r="I115" s="21">
        <v>43.686999999999998</v>
      </c>
      <c r="J115" s="21">
        <v>49.055999999999997</v>
      </c>
      <c r="K115" s="21">
        <v>48.384999999999998</v>
      </c>
      <c r="L115" s="21">
        <v>44</v>
      </c>
      <c r="M115" s="21">
        <v>48.457000000000001</v>
      </c>
      <c r="N115" s="21">
        <v>54.298000000000002</v>
      </c>
      <c r="O115" s="24">
        <v>49.344999999999999</v>
      </c>
      <c r="P115" s="24">
        <v>53.828000000000003</v>
      </c>
      <c r="Q115" s="24">
        <v>49.378</v>
      </c>
      <c r="R115" s="24">
        <v>47.941000000000003</v>
      </c>
      <c r="S115" s="24">
        <v>52.136000000000003</v>
      </c>
    </row>
    <row r="116" spans="1:19" x14ac:dyDescent="0.2">
      <c r="A116" s="3" t="s">
        <v>305</v>
      </c>
      <c r="F116" s="21">
        <v>13.581</v>
      </c>
      <c r="G116" s="21">
        <v>12.964</v>
      </c>
      <c r="H116" s="21">
        <v>11.16</v>
      </c>
      <c r="I116" s="21">
        <v>12.179</v>
      </c>
      <c r="J116" s="21">
        <v>14.247999999999999</v>
      </c>
      <c r="K116" s="21">
        <v>14.385</v>
      </c>
      <c r="L116" s="21">
        <v>17.359000000000002</v>
      </c>
      <c r="M116" s="21">
        <v>20.596</v>
      </c>
      <c r="N116" s="21">
        <v>25.408000000000001</v>
      </c>
      <c r="O116" s="24">
        <v>26.344000000000001</v>
      </c>
      <c r="P116" s="24">
        <v>27.643000000000001</v>
      </c>
      <c r="Q116" s="24">
        <v>29.064</v>
      </c>
      <c r="R116" s="24">
        <v>30.62</v>
      </c>
      <c r="S116" s="24">
        <v>32.271999999999998</v>
      </c>
    </row>
    <row r="117" spans="1:19" x14ac:dyDescent="0.2">
      <c r="A117" s="3" t="s">
        <v>306</v>
      </c>
      <c r="F117" s="21">
        <v>10.728</v>
      </c>
      <c r="G117" s="21">
        <v>12.948</v>
      </c>
      <c r="H117" s="21">
        <v>15.603999999999999</v>
      </c>
      <c r="I117" s="21">
        <v>18.446999999999999</v>
      </c>
      <c r="J117" s="21">
        <v>20.567</v>
      </c>
      <c r="K117" s="21">
        <v>21.765999999999998</v>
      </c>
      <c r="L117" s="21">
        <v>22.613</v>
      </c>
      <c r="M117" s="21">
        <v>24.756</v>
      </c>
      <c r="N117" s="21">
        <v>26.497</v>
      </c>
      <c r="O117" s="24">
        <v>28.087</v>
      </c>
      <c r="P117" s="24">
        <v>29.396000000000001</v>
      </c>
      <c r="Q117" s="24">
        <v>30.79</v>
      </c>
      <c r="R117" s="24">
        <v>32.158000000000001</v>
      </c>
      <c r="S117" s="24">
        <v>33.542999999999999</v>
      </c>
    </row>
    <row r="118" spans="1:19" x14ac:dyDescent="0.2">
      <c r="A118" s="3" t="s">
        <v>307</v>
      </c>
      <c r="F118" s="21">
        <v>0.82599999999999996</v>
      </c>
      <c r="G118" s="21">
        <v>0.96399999999999997</v>
      </c>
      <c r="H118" s="21">
        <v>1.0820000000000001</v>
      </c>
      <c r="I118" s="21">
        <v>1.1599999999999999</v>
      </c>
      <c r="J118" s="21">
        <v>1.3080000000000001</v>
      </c>
      <c r="K118" s="21">
        <v>1.234</v>
      </c>
      <c r="L118" s="21">
        <v>1.1399999999999999</v>
      </c>
      <c r="M118" s="21">
        <v>1.099</v>
      </c>
      <c r="N118" s="21">
        <v>0.995</v>
      </c>
      <c r="O118" s="24">
        <v>0.96699999999999997</v>
      </c>
      <c r="P118" s="24">
        <v>0.86499999999999999</v>
      </c>
      <c r="Q118" s="24">
        <v>0.85699999999999998</v>
      </c>
      <c r="R118" s="24">
        <v>0.84799999999999998</v>
      </c>
      <c r="S118" s="24">
        <v>0.84</v>
      </c>
    </row>
    <row r="119" spans="1:19" x14ac:dyDescent="0.2">
      <c r="A119" s="3" t="s">
        <v>308</v>
      </c>
      <c r="F119" s="21">
        <v>1.5269999999999999</v>
      </c>
      <c r="G119" s="21">
        <v>1.663</v>
      </c>
      <c r="H119" s="21">
        <v>1.63</v>
      </c>
      <c r="I119" s="21">
        <v>1.661</v>
      </c>
      <c r="J119" s="21">
        <v>1.996</v>
      </c>
      <c r="K119" s="21">
        <v>2.1339999999999999</v>
      </c>
      <c r="L119" s="21">
        <v>2.2949999999999999</v>
      </c>
      <c r="M119" s="21">
        <v>2.5099999999999998</v>
      </c>
      <c r="N119" s="21">
        <v>2.3889999999999998</v>
      </c>
      <c r="O119" s="24">
        <v>2.085</v>
      </c>
      <c r="P119" s="24">
        <v>2.12</v>
      </c>
      <c r="Q119" s="24">
        <v>2.1549999999999998</v>
      </c>
      <c r="R119" s="24">
        <v>2.214</v>
      </c>
      <c r="S119" s="24">
        <v>2.2730000000000001</v>
      </c>
    </row>
    <row r="120" spans="1:19" x14ac:dyDescent="0.2">
      <c r="A120" s="3" t="s">
        <v>309</v>
      </c>
      <c r="F120" s="21">
        <v>95.597999999999999</v>
      </c>
      <c r="G120" s="21">
        <v>103.32899999999999</v>
      </c>
      <c r="H120" s="21">
        <v>110.13500000000001</v>
      </c>
      <c r="I120" s="21">
        <v>113.33</v>
      </c>
      <c r="J120" s="21">
        <v>114.854</v>
      </c>
      <c r="K120" s="21">
        <v>108.584</v>
      </c>
      <c r="L120" s="21">
        <v>109.833</v>
      </c>
      <c r="M120" s="21">
        <v>116.306</v>
      </c>
      <c r="N120" s="21">
        <v>124.55800000000001</v>
      </c>
      <c r="O120" s="24">
        <v>128.47200000000001</v>
      </c>
      <c r="P120" s="24">
        <v>131.91499999999999</v>
      </c>
      <c r="Q120" s="24">
        <v>134.08799999999999</v>
      </c>
      <c r="R120" s="24">
        <v>135.79599999999999</v>
      </c>
      <c r="S120" s="24">
        <v>136.54900000000001</v>
      </c>
    </row>
    <row r="121" spans="1:19" x14ac:dyDescent="0.2">
      <c r="A121" s="3" t="s">
        <v>310</v>
      </c>
      <c r="F121" s="21">
        <v>7.0010000000000003</v>
      </c>
      <c r="G121" s="21">
        <v>8.0649999999999995</v>
      </c>
      <c r="H121" s="21">
        <v>8.7769999999999992</v>
      </c>
      <c r="I121" s="21">
        <v>9.0489999999999995</v>
      </c>
      <c r="J121" s="21">
        <v>9.3010000000000002</v>
      </c>
      <c r="K121" s="21">
        <v>9.4830000000000005</v>
      </c>
      <c r="L121" s="21">
        <v>9.593</v>
      </c>
      <c r="M121" s="21">
        <v>10.071</v>
      </c>
      <c r="N121" s="21">
        <v>11.917999999999999</v>
      </c>
      <c r="O121" s="24">
        <v>12.157</v>
      </c>
      <c r="P121" s="24">
        <v>12.41</v>
      </c>
      <c r="Q121" s="24">
        <v>12.653</v>
      </c>
      <c r="R121" s="24">
        <v>12.952999999999999</v>
      </c>
      <c r="S121" s="24">
        <v>13.195</v>
      </c>
    </row>
    <row r="122" spans="1:19" x14ac:dyDescent="0.2">
      <c r="A122" s="3" t="s">
        <v>311</v>
      </c>
      <c r="F122" s="21">
        <v>1.677</v>
      </c>
      <c r="G122" s="21">
        <v>1.7509999999999999</v>
      </c>
      <c r="H122" s="21">
        <v>2.1680000000000001</v>
      </c>
      <c r="I122" s="21">
        <v>2.1840000000000002</v>
      </c>
      <c r="J122" s="21">
        <v>2.3940000000000001</v>
      </c>
      <c r="K122" s="21">
        <v>2.7050000000000001</v>
      </c>
      <c r="L122" s="21">
        <v>2.7759999999999998</v>
      </c>
      <c r="M122" s="21">
        <v>2.92</v>
      </c>
      <c r="N122" s="21">
        <v>3.056</v>
      </c>
      <c r="O122" s="24">
        <v>3.3919999999999999</v>
      </c>
      <c r="P122" s="24">
        <v>3.5649999999999999</v>
      </c>
      <c r="Q122" s="24">
        <v>3.55</v>
      </c>
      <c r="R122" s="24">
        <v>3.5350000000000001</v>
      </c>
      <c r="S122" s="24">
        <v>3.4910000000000001</v>
      </c>
    </row>
    <row r="123" spans="1:19" x14ac:dyDescent="0.2">
      <c r="A123" s="3" t="s">
        <v>312</v>
      </c>
      <c r="F123" s="21">
        <v>0</v>
      </c>
      <c r="G123" s="21">
        <v>0</v>
      </c>
      <c r="H123" s="21">
        <v>0</v>
      </c>
      <c r="I123" s="21">
        <v>0</v>
      </c>
      <c r="J123" s="21">
        <v>0</v>
      </c>
      <c r="K123" s="21">
        <v>0</v>
      </c>
      <c r="L123" s="21">
        <v>0</v>
      </c>
      <c r="M123" s="21">
        <v>0</v>
      </c>
      <c r="N123" s="21">
        <v>0</v>
      </c>
      <c r="O123" s="24">
        <v>0.45100000000000001</v>
      </c>
      <c r="P123" s="24">
        <v>1.2470000000000001</v>
      </c>
      <c r="Q123" s="24">
        <v>1.913</v>
      </c>
      <c r="R123" s="24">
        <v>2.6480000000000001</v>
      </c>
      <c r="S123" s="24">
        <v>3.5609999999999999</v>
      </c>
    </row>
    <row r="124" spans="1:19" x14ac:dyDescent="0.2">
      <c r="A124" s="3" t="s">
        <v>313</v>
      </c>
      <c r="F124" s="21">
        <v>0</v>
      </c>
      <c r="G124" s="21">
        <v>0</v>
      </c>
      <c r="H124" s="21">
        <v>0</v>
      </c>
      <c r="I124" s="21">
        <v>0</v>
      </c>
      <c r="J124" s="21">
        <v>0</v>
      </c>
      <c r="K124" s="21">
        <v>0</v>
      </c>
      <c r="L124" s="21">
        <v>0</v>
      </c>
      <c r="M124" s="21">
        <v>0</v>
      </c>
      <c r="N124" s="21">
        <v>0</v>
      </c>
      <c r="O124" s="24">
        <v>-0.55500000000000005</v>
      </c>
      <c r="P124" s="24">
        <v>-0.63</v>
      </c>
      <c r="Q124" s="24">
        <v>-0.55500000000000005</v>
      </c>
      <c r="R124" s="24">
        <v>-0.60499999999999998</v>
      </c>
      <c r="S124" s="24">
        <v>-0.65500000000000003</v>
      </c>
    </row>
    <row r="125" spans="1:19" x14ac:dyDescent="0.2">
      <c r="A125" s="2" t="s">
        <v>314</v>
      </c>
      <c r="F125" s="54">
        <f>SUM(F$113:F$124)</f>
        <v>180.34899999999999</v>
      </c>
      <c r="G125" s="54">
        <f t="shared" ref="G125:S125" si="21">SUM(G$113:G$124)</f>
        <v>200.83499999999998</v>
      </c>
      <c r="H125" s="54">
        <f t="shared" si="21"/>
        <v>217.15099999999998</v>
      </c>
      <c r="I125" s="54">
        <f t="shared" si="21"/>
        <v>223.35500000000002</v>
      </c>
      <c r="J125" s="54">
        <f t="shared" si="21"/>
        <v>245.21499999999997</v>
      </c>
      <c r="K125" s="54">
        <f t="shared" si="21"/>
        <v>240.31800000000001</v>
      </c>
      <c r="L125" s="54">
        <f t="shared" si="21"/>
        <v>244.416</v>
      </c>
      <c r="M125" s="54">
        <f t="shared" si="21"/>
        <v>256.82400000000001</v>
      </c>
      <c r="N125" s="54">
        <f t="shared" si="21"/>
        <v>278.70300000000003</v>
      </c>
      <c r="O125" s="54">
        <f t="shared" si="21"/>
        <v>282.73099999999999</v>
      </c>
      <c r="P125" s="54">
        <f t="shared" si="21"/>
        <v>294.29400000000004</v>
      </c>
      <c r="Q125" s="54">
        <f t="shared" si="21"/>
        <v>296.93799999999999</v>
      </c>
      <c r="R125" s="54">
        <f t="shared" si="21"/>
        <v>302.97300000000001</v>
      </c>
      <c r="S125" s="54">
        <f t="shared" si="21"/>
        <v>313.97799999999995</v>
      </c>
    </row>
    <row r="126" spans="1:19" x14ac:dyDescent="0.2">
      <c r="A126" s="3" t="s">
        <v>316</v>
      </c>
      <c r="F126" s="21">
        <v>3.444</v>
      </c>
      <c r="G126" s="21">
        <v>3.53</v>
      </c>
      <c r="H126" s="21">
        <v>4.0049999999999999</v>
      </c>
      <c r="I126" s="21">
        <v>4.0199999999999996</v>
      </c>
      <c r="J126" s="21">
        <v>4.2539999999999996</v>
      </c>
      <c r="K126" s="21">
        <v>4.4569999999999999</v>
      </c>
      <c r="L126" s="21">
        <v>4.6909999999999998</v>
      </c>
      <c r="M126" s="21">
        <v>4.9640000000000004</v>
      </c>
      <c r="N126" s="21">
        <v>5.3360000000000003</v>
      </c>
      <c r="O126" s="24">
        <v>5.56</v>
      </c>
      <c r="P126" s="24">
        <v>5.7229999999999999</v>
      </c>
      <c r="Q126" s="24">
        <v>5.8929999999999998</v>
      </c>
      <c r="R126" s="24">
        <v>6.0670000000000002</v>
      </c>
      <c r="S126" s="24">
        <v>6.2469999999999999</v>
      </c>
    </row>
    <row r="127" spans="1:19" x14ac:dyDescent="0.2">
      <c r="A127" s="3" t="s">
        <v>317</v>
      </c>
      <c r="F127" s="21">
        <v>8.0749999999999993</v>
      </c>
      <c r="G127" s="21">
        <v>10.895</v>
      </c>
      <c r="H127" s="21">
        <v>9.1389999999999993</v>
      </c>
      <c r="I127" s="21">
        <v>9.9309999999999992</v>
      </c>
      <c r="J127" s="21">
        <v>11.099</v>
      </c>
      <c r="K127" s="21">
        <v>11.603999999999999</v>
      </c>
      <c r="L127" s="21">
        <v>11.16</v>
      </c>
      <c r="M127" s="21">
        <v>12.117000000000001</v>
      </c>
      <c r="N127" s="21">
        <v>11.952999999999999</v>
      </c>
      <c r="O127" s="24">
        <v>12.38</v>
      </c>
      <c r="P127" s="24">
        <v>11.76</v>
      </c>
      <c r="Q127" s="24">
        <v>12.109</v>
      </c>
      <c r="R127" s="24">
        <v>12.958</v>
      </c>
      <c r="S127" s="24">
        <v>12.771000000000001</v>
      </c>
    </row>
    <row r="128" spans="1:19" x14ac:dyDescent="0.2">
      <c r="A128" s="3" t="s">
        <v>318</v>
      </c>
      <c r="F128" s="21">
        <v>0.96599999999999997</v>
      </c>
      <c r="G128" s="21">
        <v>1.292</v>
      </c>
      <c r="H128" s="21">
        <v>1.4259999999999999</v>
      </c>
      <c r="I128" s="21">
        <v>1.6279999999999999</v>
      </c>
      <c r="J128" s="21">
        <v>1.6739999999999999</v>
      </c>
      <c r="K128" s="21">
        <v>1.712</v>
      </c>
      <c r="L128" s="21">
        <v>1.714</v>
      </c>
      <c r="M128" s="21">
        <v>1.962</v>
      </c>
      <c r="N128" s="21">
        <v>2.1120000000000001</v>
      </c>
      <c r="O128" s="24">
        <v>2.169</v>
      </c>
      <c r="P128" s="24">
        <v>2.1760000000000002</v>
      </c>
      <c r="Q128" s="24">
        <v>2.1880000000000002</v>
      </c>
      <c r="R128" s="24">
        <v>2.1989999999999998</v>
      </c>
      <c r="S128" s="24">
        <v>2.214</v>
      </c>
    </row>
    <row r="129" spans="1:19" x14ac:dyDescent="0.2">
      <c r="A129" s="3" t="s">
        <v>319</v>
      </c>
      <c r="F129" s="21">
        <v>41.898000000000003</v>
      </c>
      <c r="G129" s="21">
        <v>46.11</v>
      </c>
      <c r="H129" s="21">
        <v>61.953000000000003</v>
      </c>
      <c r="I129" s="21">
        <v>69.733000000000004</v>
      </c>
      <c r="J129" s="21">
        <v>90.245000000000005</v>
      </c>
      <c r="K129" s="21">
        <v>100.53400000000001</v>
      </c>
      <c r="L129" s="21">
        <v>100.087</v>
      </c>
      <c r="M129" s="21">
        <v>103.419</v>
      </c>
      <c r="N129" s="21">
        <v>112.58</v>
      </c>
      <c r="O129" s="24">
        <v>116.976</v>
      </c>
      <c r="P129" s="24">
        <v>126.871</v>
      </c>
      <c r="Q129" s="24">
        <v>125.242</v>
      </c>
      <c r="R129" s="24">
        <v>123.333</v>
      </c>
      <c r="S129" s="24">
        <v>125.643</v>
      </c>
    </row>
    <row r="130" spans="1:19" x14ac:dyDescent="0.2">
      <c r="A130" s="3" t="s">
        <v>320</v>
      </c>
      <c r="F130" s="21">
        <v>17.417999999999999</v>
      </c>
      <c r="G130" s="21">
        <v>20.484000000000002</v>
      </c>
      <c r="H130" s="21">
        <v>26.567</v>
      </c>
      <c r="I130" s="21">
        <v>27.131</v>
      </c>
      <c r="J130" s="21">
        <v>39.314</v>
      </c>
      <c r="K130" s="21">
        <v>41.186</v>
      </c>
      <c r="L130" s="21">
        <v>37.712000000000003</v>
      </c>
      <c r="M130" s="21">
        <v>35.825000000000003</v>
      </c>
      <c r="N130" s="21">
        <v>36.430999999999997</v>
      </c>
      <c r="O130" s="24">
        <v>35.216999999999999</v>
      </c>
      <c r="P130" s="24">
        <v>35.335000000000001</v>
      </c>
      <c r="Q130" s="24">
        <v>36.152000000000001</v>
      </c>
      <c r="R130" s="24">
        <v>37.325000000000003</v>
      </c>
      <c r="S130" s="24">
        <v>38.643999999999998</v>
      </c>
    </row>
    <row r="131" spans="1:19" x14ac:dyDescent="0.2">
      <c r="A131" s="3" t="s">
        <v>321</v>
      </c>
      <c r="F131" s="21">
        <v>7.1609999999999996</v>
      </c>
      <c r="G131" s="21">
        <v>8.2569999999999997</v>
      </c>
      <c r="H131" s="21">
        <v>8.9930000000000003</v>
      </c>
      <c r="I131" s="21">
        <v>9.94</v>
      </c>
      <c r="J131" s="21">
        <v>10.156000000000001</v>
      </c>
      <c r="K131" s="21">
        <v>13.539</v>
      </c>
      <c r="L131" s="21">
        <v>11.903</v>
      </c>
      <c r="M131" s="21">
        <v>10.885</v>
      </c>
      <c r="N131" s="21">
        <v>10.834</v>
      </c>
      <c r="O131" s="24">
        <v>10.741</v>
      </c>
      <c r="P131" s="24">
        <v>10.234999999999999</v>
      </c>
      <c r="Q131" s="24">
        <v>9.7270000000000003</v>
      </c>
      <c r="R131" s="24">
        <v>9.2249999999999996</v>
      </c>
      <c r="S131" s="24">
        <v>8.7319999999999993</v>
      </c>
    </row>
    <row r="132" spans="1:19" x14ac:dyDescent="0.2">
      <c r="A132" s="3" t="s">
        <v>322</v>
      </c>
      <c r="F132" s="21">
        <v>4.5599999999999996</v>
      </c>
      <c r="G132" s="21">
        <v>4.7530000000000001</v>
      </c>
      <c r="H132" s="21">
        <v>5.5529999999999999</v>
      </c>
      <c r="I132" s="21">
        <v>5.984</v>
      </c>
      <c r="J132" s="21">
        <v>7.5860000000000003</v>
      </c>
      <c r="K132" s="21">
        <v>7.5060000000000002</v>
      </c>
      <c r="L132" s="21">
        <v>7.1379999999999999</v>
      </c>
      <c r="M132" s="21">
        <v>6.9550000000000001</v>
      </c>
      <c r="N132" s="21">
        <v>7.2210000000000001</v>
      </c>
      <c r="O132" s="24">
        <v>6.95</v>
      </c>
      <c r="P132" s="24">
        <v>6.6289999999999996</v>
      </c>
      <c r="Q132" s="24">
        <v>6.5380000000000003</v>
      </c>
      <c r="R132" s="24">
        <v>6.4640000000000004</v>
      </c>
      <c r="S132" s="24">
        <v>6.4390000000000001</v>
      </c>
    </row>
    <row r="133" spans="1:19" x14ac:dyDescent="0.2">
      <c r="A133" s="2" t="s">
        <v>323</v>
      </c>
      <c r="F133" s="54">
        <f>SUM(F$126:F$132)</f>
        <v>83.522000000000006</v>
      </c>
      <c r="G133" s="54">
        <f t="shared" ref="G133:S133" si="22">SUM(G$126:G$132)</f>
        <v>95.321000000000012</v>
      </c>
      <c r="H133" s="54">
        <f t="shared" si="22"/>
        <v>117.636</v>
      </c>
      <c r="I133" s="54">
        <f t="shared" si="22"/>
        <v>128.36699999999999</v>
      </c>
      <c r="J133" s="54">
        <f t="shared" si="22"/>
        <v>164.32800000000003</v>
      </c>
      <c r="K133" s="54">
        <f t="shared" si="22"/>
        <v>180.53799999999998</v>
      </c>
      <c r="L133" s="54">
        <f t="shared" si="22"/>
        <v>174.405</v>
      </c>
      <c r="M133" s="54">
        <f t="shared" si="22"/>
        <v>176.12700000000001</v>
      </c>
      <c r="N133" s="54">
        <f t="shared" si="22"/>
        <v>186.46699999999998</v>
      </c>
      <c r="O133" s="54">
        <f t="shared" si="22"/>
        <v>189.99299999999999</v>
      </c>
      <c r="P133" s="54">
        <f t="shared" si="22"/>
        <v>198.72900000000001</v>
      </c>
      <c r="Q133" s="54">
        <f t="shared" si="22"/>
        <v>197.84900000000002</v>
      </c>
      <c r="R133" s="54">
        <f t="shared" si="22"/>
        <v>197.571</v>
      </c>
      <c r="S133" s="54">
        <f t="shared" si="22"/>
        <v>200.69</v>
      </c>
    </row>
    <row r="134" spans="1:19" x14ac:dyDescent="0.2">
      <c r="A134" s="2" t="s">
        <v>324</v>
      </c>
      <c r="F134" s="23">
        <v>96.826999999999998</v>
      </c>
      <c r="G134" s="23">
        <v>105.514</v>
      </c>
      <c r="H134" s="23">
        <v>99.515000000000001</v>
      </c>
      <c r="I134" s="23">
        <v>94.988</v>
      </c>
      <c r="J134" s="23">
        <v>80.887</v>
      </c>
      <c r="K134" s="23">
        <v>59.78</v>
      </c>
      <c r="L134" s="23">
        <v>70.010999999999996</v>
      </c>
      <c r="M134" s="23">
        <v>80.697000000000003</v>
      </c>
      <c r="N134" s="23">
        <v>92.236000000000004</v>
      </c>
      <c r="O134" s="25">
        <v>92.738</v>
      </c>
      <c r="P134" s="25">
        <v>95.564999999999998</v>
      </c>
      <c r="Q134" s="25">
        <v>99.088999999999999</v>
      </c>
      <c r="R134" s="25">
        <v>105.402</v>
      </c>
      <c r="S134" s="25">
        <v>113.288</v>
      </c>
    </row>
    <row r="135" spans="1:19" x14ac:dyDescent="0.2">
      <c r="A135" s="2" t="s">
        <v>325</v>
      </c>
      <c r="F135" s="7" t="str">
        <f>IF(ROUND(F$134-SUM(F$125,-F$133),3)=0,"OK","ERROR")</f>
        <v>OK</v>
      </c>
      <c r="G135" s="7" t="str">
        <f t="shared" ref="G135:S135" si="23">IF(ROUND(G$134-SUM(G$125,-G$133),3)=0,"OK","ERROR")</f>
        <v>OK</v>
      </c>
      <c r="H135" s="7" t="str">
        <f t="shared" si="23"/>
        <v>OK</v>
      </c>
      <c r="I135" s="7" t="str">
        <f t="shared" si="23"/>
        <v>OK</v>
      </c>
      <c r="J135" s="7" t="str">
        <f t="shared" si="23"/>
        <v>OK</v>
      </c>
      <c r="K135" s="7" t="str">
        <f t="shared" si="23"/>
        <v>OK</v>
      </c>
      <c r="L135" s="7" t="str">
        <f t="shared" si="23"/>
        <v>OK</v>
      </c>
      <c r="M135" s="7" t="str">
        <f t="shared" si="23"/>
        <v>OK</v>
      </c>
      <c r="N135" s="7" t="str">
        <f t="shared" si="23"/>
        <v>OK</v>
      </c>
      <c r="O135" s="7" t="str">
        <f t="shared" si="23"/>
        <v>OK</v>
      </c>
      <c r="P135" s="7" t="str">
        <f t="shared" si="23"/>
        <v>OK</v>
      </c>
      <c r="Q135" s="7" t="str">
        <f t="shared" si="23"/>
        <v>OK</v>
      </c>
      <c r="R135" s="7" t="str">
        <f t="shared" si="23"/>
        <v>OK</v>
      </c>
      <c r="S135" s="7" t="str">
        <f t="shared" si="23"/>
        <v>OK</v>
      </c>
    </row>
    <row r="136" spans="1:19" x14ac:dyDescent="0.2">
      <c r="A136" s="2" t="s">
        <v>645</v>
      </c>
      <c r="F136" s="21">
        <v>0.29599999999999999</v>
      </c>
      <c r="G136" s="21">
        <v>0.38200000000000001</v>
      </c>
      <c r="H136" s="21">
        <v>0.44700000000000001</v>
      </c>
      <c r="I136" s="21">
        <v>0.40200000000000002</v>
      </c>
      <c r="J136" s="21">
        <v>0.308</v>
      </c>
      <c r="K136" s="21">
        <v>0.432</v>
      </c>
      <c r="L136" s="21">
        <v>1.94</v>
      </c>
      <c r="M136" s="21">
        <v>5.2110000000000003</v>
      </c>
      <c r="N136" s="21">
        <v>5.782</v>
      </c>
      <c r="O136" s="24">
        <v>5.8760000000000003</v>
      </c>
      <c r="P136" s="24">
        <v>5.931</v>
      </c>
      <c r="Q136" s="24">
        <v>6</v>
      </c>
      <c r="R136" s="24">
        <v>6.077</v>
      </c>
      <c r="S136" s="24">
        <v>6.1150000000000002</v>
      </c>
    </row>
    <row r="137" spans="1:19" x14ac:dyDescent="0.2">
      <c r="A137" s="31" t="s">
        <v>394</v>
      </c>
    </row>
    <row r="138" spans="1:19" x14ac:dyDescent="0.2">
      <c r="A138" s="3" t="s">
        <v>328</v>
      </c>
      <c r="F138" s="21">
        <v>15.778</v>
      </c>
      <c r="G138" s="21">
        <v>18.515999999999998</v>
      </c>
      <c r="H138" s="21">
        <v>21.164000000000001</v>
      </c>
      <c r="I138" s="21">
        <v>27.925999999999998</v>
      </c>
      <c r="J138" s="21">
        <v>46.018000000000001</v>
      </c>
      <c r="K138" s="21">
        <v>53.85</v>
      </c>
      <c r="L138" s="21">
        <v>57.377000000000002</v>
      </c>
      <c r="M138" s="21">
        <v>60.337000000000003</v>
      </c>
      <c r="N138" s="21">
        <v>58.743000000000002</v>
      </c>
      <c r="O138" s="24">
        <v>64.563000000000002</v>
      </c>
      <c r="P138" s="24">
        <v>73.456000000000003</v>
      </c>
      <c r="Q138" s="24">
        <v>70.503</v>
      </c>
      <c r="R138" s="24">
        <v>67.234999999999999</v>
      </c>
      <c r="S138" s="24">
        <v>68.218000000000004</v>
      </c>
    </row>
    <row r="139" spans="1:19" x14ac:dyDescent="0.2">
      <c r="A139" s="3" t="s">
        <v>329</v>
      </c>
      <c r="F139" s="21">
        <v>2.0979999999999999</v>
      </c>
      <c r="G139" s="21">
        <v>1.484</v>
      </c>
      <c r="H139" s="21">
        <v>7.4320000000000004</v>
      </c>
      <c r="I139" s="21">
        <v>7.625</v>
      </c>
      <c r="J139" s="21">
        <v>7.0279999999999996</v>
      </c>
      <c r="K139" s="21">
        <v>8.9540000000000006</v>
      </c>
      <c r="L139" s="21">
        <v>4.0839999999999996</v>
      </c>
      <c r="M139" s="21">
        <v>3.1469999999999998</v>
      </c>
      <c r="N139" s="21">
        <v>6.734</v>
      </c>
      <c r="O139" s="24">
        <v>3.9249999999999998</v>
      </c>
      <c r="P139" s="24">
        <v>3.827</v>
      </c>
      <c r="Q139" s="24">
        <v>3.8119999999999998</v>
      </c>
      <c r="R139" s="24">
        <v>3.7970000000000002</v>
      </c>
      <c r="S139" s="24">
        <v>3.79</v>
      </c>
    </row>
    <row r="140" spans="1:19" x14ac:dyDescent="0.2">
      <c r="A140" s="3" t="s">
        <v>330</v>
      </c>
      <c r="F140" s="21">
        <v>0.36399999999999999</v>
      </c>
      <c r="G140" s="21">
        <v>0.42299999999999999</v>
      </c>
      <c r="H140" s="21">
        <v>0.49099999999999999</v>
      </c>
      <c r="I140" s="21">
        <v>0.309</v>
      </c>
      <c r="J140" s="21">
        <v>0.26100000000000001</v>
      </c>
      <c r="K140" s="21">
        <v>0.22900000000000001</v>
      </c>
      <c r="L140" s="21">
        <v>0.19900000000000001</v>
      </c>
      <c r="M140" s="21">
        <v>0.183</v>
      </c>
      <c r="N140" s="21">
        <v>0.188</v>
      </c>
      <c r="O140" s="24">
        <v>0.193</v>
      </c>
      <c r="P140" s="24">
        <v>0.193</v>
      </c>
      <c r="Q140" s="24">
        <v>0.193</v>
      </c>
      <c r="R140" s="24">
        <v>0.193</v>
      </c>
      <c r="S140" s="24">
        <v>0.193</v>
      </c>
    </row>
    <row r="141" spans="1:19" x14ac:dyDescent="0.2">
      <c r="A141" s="3" t="s">
        <v>331</v>
      </c>
      <c r="F141" s="21">
        <v>7.5069999999999997</v>
      </c>
      <c r="G141" s="21">
        <v>7.75</v>
      </c>
      <c r="H141" s="21">
        <v>6.9080000000000004</v>
      </c>
      <c r="I141" s="21">
        <v>6.6790000000000003</v>
      </c>
      <c r="J141" s="21">
        <v>6.2759999999999998</v>
      </c>
      <c r="K141" s="21">
        <v>5.9169999999999998</v>
      </c>
      <c r="L141" s="21">
        <v>7.5750000000000002</v>
      </c>
      <c r="M141" s="21">
        <v>7.758</v>
      </c>
      <c r="N141" s="21">
        <v>7.931</v>
      </c>
      <c r="O141" s="24">
        <v>6.99</v>
      </c>
      <c r="P141" s="24">
        <v>6.99</v>
      </c>
      <c r="Q141" s="24">
        <v>6.99</v>
      </c>
      <c r="R141" s="24">
        <v>6.99</v>
      </c>
      <c r="S141" s="24">
        <v>6.99</v>
      </c>
    </row>
    <row r="142" spans="1:19" x14ac:dyDescent="0.2">
      <c r="A142" s="3" t="s">
        <v>332</v>
      </c>
      <c r="F142" s="21">
        <v>1.1259999999999999</v>
      </c>
      <c r="G142" s="21">
        <v>1.591</v>
      </c>
      <c r="H142" s="21">
        <v>2.1579999999999999</v>
      </c>
      <c r="I142" s="21">
        <v>2.3759999999999999</v>
      </c>
      <c r="J142" s="21">
        <v>2.7669999999999999</v>
      </c>
      <c r="K142" s="21">
        <v>2.8069999999999999</v>
      </c>
      <c r="L142" s="21">
        <v>3.1880000000000002</v>
      </c>
      <c r="M142" s="21">
        <v>2.2450000000000001</v>
      </c>
      <c r="N142" s="21">
        <v>6.2610000000000001</v>
      </c>
      <c r="O142" s="24">
        <v>5.931</v>
      </c>
      <c r="P142" s="24">
        <v>5.218</v>
      </c>
      <c r="Q142" s="24">
        <v>4.915</v>
      </c>
      <c r="R142" s="24">
        <v>4.6289999999999996</v>
      </c>
      <c r="S142" s="24">
        <v>4.5430000000000001</v>
      </c>
    </row>
    <row r="143" spans="1:19" x14ac:dyDescent="0.2">
      <c r="A143" s="3" t="s">
        <v>333</v>
      </c>
      <c r="F143" s="21">
        <v>0.95399999999999996</v>
      </c>
      <c r="G143" s="21">
        <v>0.95499999999999996</v>
      </c>
      <c r="H143" s="21">
        <v>1.002</v>
      </c>
      <c r="I143" s="21">
        <v>0.92</v>
      </c>
      <c r="J143" s="21">
        <v>1.1759999999999999</v>
      </c>
      <c r="K143" s="21">
        <v>1.5149999999999999</v>
      </c>
      <c r="L143" s="21">
        <v>1.454</v>
      </c>
      <c r="M143" s="21">
        <v>1.5009999999999999</v>
      </c>
      <c r="N143" s="21">
        <v>1.788</v>
      </c>
      <c r="O143" s="24">
        <v>2.7549999999999999</v>
      </c>
      <c r="P143" s="24">
        <v>2.7669999999999999</v>
      </c>
      <c r="Q143" s="24">
        <v>2.9369999999999998</v>
      </c>
      <c r="R143" s="24">
        <v>2.93</v>
      </c>
      <c r="S143" s="24">
        <v>2.6720000000000002</v>
      </c>
    </row>
    <row r="144" spans="1:19" x14ac:dyDescent="0.2">
      <c r="A144" s="3" t="s">
        <v>334</v>
      </c>
      <c r="F144" s="21">
        <v>14.071</v>
      </c>
      <c r="G144" s="21">
        <v>15.391</v>
      </c>
      <c r="H144" s="21">
        <v>22.797999999999998</v>
      </c>
      <c r="I144" s="21">
        <v>23.898</v>
      </c>
      <c r="J144" s="21">
        <v>26.719000000000001</v>
      </c>
      <c r="K144" s="21">
        <v>27.262</v>
      </c>
      <c r="L144" s="21">
        <v>26.21</v>
      </c>
      <c r="M144" s="21">
        <v>28.248000000000001</v>
      </c>
      <c r="N144" s="21">
        <v>30.934999999999999</v>
      </c>
      <c r="O144" s="24">
        <v>32.619</v>
      </c>
      <c r="P144" s="24">
        <v>34.42</v>
      </c>
      <c r="Q144" s="24">
        <v>35.892000000000003</v>
      </c>
      <c r="R144" s="24">
        <v>37.558999999999997</v>
      </c>
      <c r="S144" s="24">
        <v>39.237000000000002</v>
      </c>
    </row>
    <row r="145" spans="1:19" x14ac:dyDescent="0.2">
      <c r="A145" s="2" t="s">
        <v>335</v>
      </c>
      <c r="F145" s="54">
        <f>SUM(F$138:F$144)</f>
        <v>41.898000000000003</v>
      </c>
      <c r="G145" s="54">
        <f t="shared" ref="G145:S145" si="24">SUM(G$138:G$144)</f>
        <v>46.11</v>
      </c>
      <c r="H145" s="54">
        <f t="shared" si="24"/>
        <v>61.953000000000003</v>
      </c>
      <c r="I145" s="54">
        <f t="shared" si="24"/>
        <v>69.733000000000004</v>
      </c>
      <c r="J145" s="54">
        <f t="shared" si="24"/>
        <v>90.245000000000005</v>
      </c>
      <c r="K145" s="54">
        <f t="shared" si="24"/>
        <v>100.53400000000001</v>
      </c>
      <c r="L145" s="54">
        <f t="shared" si="24"/>
        <v>100.08699999999999</v>
      </c>
      <c r="M145" s="54">
        <f t="shared" si="24"/>
        <v>103.41900000000001</v>
      </c>
      <c r="N145" s="54">
        <f t="shared" si="24"/>
        <v>112.58</v>
      </c>
      <c r="O145" s="54">
        <f t="shared" si="24"/>
        <v>116.97599999999998</v>
      </c>
      <c r="P145" s="54">
        <f t="shared" si="24"/>
        <v>126.871</v>
      </c>
      <c r="Q145" s="54">
        <f t="shared" si="24"/>
        <v>125.24199999999999</v>
      </c>
      <c r="R145" s="54">
        <f t="shared" si="24"/>
        <v>123.333</v>
      </c>
      <c r="S145" s="54">
        <f t="shared" si="24"/>
        <v>125.643</v>
      </c>
    </row>
    <row r="146" spans="1:19" x14ac:dyDescent="0.2">
      <c r="A146" s="2" t="s">
        <v>337</v>
      </c>
      <c r="F146" s="7" t="str">
        <f>IF(ROUND(F$145-F$129,3)=0,"OK","ERROR")</f>
        <v>OK</v>
      </c>
      <c r="G146" s="7" t="str">
        <f t="shared" ref="G146:S146" si="25">IF(ROUND(G$145-G$129,3)=0,"OK","ERROR")</f>
        <v>OK</v>
      </c>
      <c r="H146" s="7" t="str">
        <f t="shared" si="25"/>
        <v>OK</v>
      </c>
      <c r="I146" s="7" t="str">
        <f t="shared" si="25"/>
        <v>OK</v>
      </c>
      <c r="J146" s="7" t="str">
        <f t="shared" si="25"/>
        <v>OK</v>
      </c>
      <c r="K146" s="7" t="str">
        <f t="shared" si="25"/>
        <v>OK</v>
      </c>
      <c r="L146" s="7" t="str">
        <f t="shared" si="25"/>
        <v>OK</v>
      </c>
      <c r="M146" s="7" t="str">
        <f t="shared" si="25"/>
        <v>OK</v>
      </c>
      <c r="N146" s="7" t="str">
        <f t="shared" si="25"/>
        <v>OK</v>
      </c>
      <c r="O146" s="7" t="str">
        <f t="shared" si="25"/>
        <v>OK</v>
      </c>
      <c r="P146" s="7" t="str">
        <f t="shared" si="25"/>
        <v>OK</v>
      </c>
      <c r="Q146" s="7" t="str">
        <f t="shared" si="25"/>
        <v>OK</v>
      </c>
      <c r="R146" s="7" t="str">
        <f t="shared" si="25"/>
        <v>OK</v>
      </c>
      <c r="S146" s="7" t="str">
        <f t="shared" si="25"/>
        <v>OK</v>
      </c>
    </row>
    <row r="147" spans="1:19" x14ac:dyDescent="0.2">
      <c r="A147" s="3" t="s">
        <v>648</v>
      </c>
      <c r="F147" s="21">
        <v>31.163</v>
      </c>
      <c r="G147" s="21">
        <v>33.192</v>
      </c>
      <c r="H147" s="21">
        <v>44.448</v>
      </c>
      <c r="I147" s="21">
        <v>50.017000000000003</v>
      </c>
      <c r="J147" s="21">
        <v>67.765000000000001</v>
      </c>
      <c r="K147" s="21">
        <v>75.700999999999993</v>
      </c>
      <c r="L147" s="21">
        <v>75.683999999999997</v>
      </c>
      <c r="M147" s="21">
        <v>77.460999999999999</v>
      </c>
      <c r="N147" s="21">
        <v>84.007999999999996</v>
      </c>
      <c r="O147" s="24">
        <v>86.457999999999998</v>
      </c>
      <c r="P147" s="24">
        <v>95.024000000000001</v>
      </c>
      <c r="Q147" s="24">
        <v>91.835999999999999</v>
      </c>
      <c r="R147" s="24">
        <v>88.290999999999997</v>
      </c>
      <c r="S147" s="24">
        <v>89.182000000000002</v>
      </c>
    </row>
    <row r="148" spans="1:19" x14ac:dyDescent="0.2">
      <c r="A148" s="3" t="s">
        <v>649</v>
      </c>
      <c r="F148" s="21">
        <v>10.734999999999999</v>
      </c>
      <c r="G148" s="21">
        <v>12.917999999999999</v>
      </c>
      <c r="H148" s="21">
        <v>17.504999999999999</v>
      </c>
      <c r="I148" s="21">
        <v>19.716000000000001</v>
      </c>
      <c r="J148" s="21">
        <v>22.48</v>
      </c>
      <c r="K148" s="21">
        <v>24.832999999999998</v>
      </c>
      <c r="L148" s="21">
        <v>24.402999999999999</v>
      </c>
      <c r="M148" s="21">
        <v>25.957999999999998</v>
      </c>
      <c r="N148" s="21">
        <v>28.571999999999999</v>
      </c>
      <c r="O148" s="24">
        <v>30.518000000000001</v>
      </c>
      <c r="P148" s="24">
        <v>31.847000000000001</v>
      </c>
      <c r="Q148" s="24">
        <v>33.405999999999999</v>
      </c>
      <c r="R148" s="24">
        <v>35.042000000000002</v>
      </c>
      <c r="S148" s="24">
        <v>36.460999999999999</v>
      </c>
    </row>
    <row r="149" spans="1:19" x14ac:dyDescent="0.2">
      <c r="A149" s="2" t="s">
        <v>335</v>
      </c>
      <c r="F149" s="54">
        <f>SUM(F$147:F$148)</f>
        <v>41.897999999999996</v>
      </c>
      <c r="G149" s="54">
        <f t="shared" ref="G149:S149" si="26">SUM(G$147:G$148)</f>
        <v>46.11</v>
      </c>
      <c r="H149" s="54">
        <f t="shared" si="26"/>
        <v>61.953000000000003</v>
      </c>
      <c r="I149" s="54">
        <f t="shared" si="26"/>
        <v>69.733000000000004</v>
      </c>
      <c r="J149" s="54">
        <f t="shared" si="26"/>
        <v>90.245000000000005</v>
      </c>
      <c r="K149" s="54">
        <f t="shared" si="26"/>
        <v>100.53399999999999</v>
      </c>
      <c r="L149" s="54">
        <f t="shared" si="26"/>
        <v>100.08699999999999</v>
      </c>
      <c r="M149" s="54">
        <f t="shared" si="26"/>
        <v>103.419</v>
      </c>
      <c r="N149" s="54">
        <f t="shared" si="26"/>
        <v>112.58</v>
      </c>
      <c r="O149" s="54">
        <f t="shared" si="26"/>
        <v>116.976</v>
      </c>
      <c r="P149" s="54">
        <f t="shared" si="26"/>
        <v>126.87100000000001</v>
      </c>
      <c r="Q149" s="54">
        <f t="shared" si="26"/>
        <v>125.24199999999999</v>
      </c>
      <c r="R149" s="54">
        <f t="shared" si="26"/>
        <v>123.333</v>
      </c>
      <c r="S149" s="54">
        <f t="shared" si="26"/>
        <v>125.643</v>
      </c>
    </row>
    <row r="150" spans="1:19" x14ac:dyDescent="0.2">
      <c r="A150" s="3" t="s">
        <v>336</v>
      </c>
      <c r="F150" s="21">
        <v>35.892000000000003</v>
      </c>
      <c r="G150" s="21">
        <v>37.335999999999999</v>
      </c>
      <c r="H150" s="21">
        <v>50.545000000000002</v>
      </c>
      <c r="I150" s="21">
        <v>58.582999999999998</v>
      </c>
      <c r="J150" s="21">
        <v>76.885000000000005</v>
      </c>
      <c r="K150" s="21">
        <v>84.68</v>
      </c>
      <c r="L150" s="21">
        <v>84.873000000000005</v>
      </c>
      <c r="M150" s="21">
        <v>89.09</v>
      </c>
      <c r="N150" s="21">
        <v>95.649000000000001</v>
      </c>
      <c r="O150" s="24">
        <v>98.09</v>
      </c>
      <c r="P150" s="24">
        <v>106.69</v>
      </c>
      <c r="Q150" s="24">
        <v>103.94199999999999</v>
      </c>
      <c r="R150" s="24">
        <v>100.922</v>
      </c>
      <c r="S150" s="24">
        <v>102.363</v>
      </c>
    </row>
    <row r="151" spans="1:19" x14ac:dyDescent="0.2">
      <c r="A151" s="3" t="s">
        <v>811</v>
      </c>
      <c r="F151" s="21">
        <v>0.91300000000000003</v>
      </c>
      <c r="G151" s="21">
        <v>0.40899999999999997</v>
      </c>
      <c r="H151" s="21">
        <v>0.42799999999999999</v>
      </c>
      <c r="I151" s="21">
        <v>0.308</v>
      </c>
      <c r="J151" s="21">
        <v>0.40500000000000003</v>
      </c>
      <c r="K151" s="21">
        <v>-0.51200000000000001</v>
      </c>
      <c r="L151" s="21">
        <v>-0.58699999999999997</v>
      </c>
      <c r="M151" s="21">
        <v>-0.622</v>
      </c>
      <c r="N151" s="21">
        <v>-2.4929999999999999</v>
      </c>
      <c r="O151" s="24">
        <v>-3.177</v>
      </c>
      <c r="P151" s="24">
        <v>-3.2240000000000002</v>
      </c>
      <c r="Q151" s="24">
        <v>-3.226</v>
      </c>
      <c r="R151" s="24">
        <v>-3.2250000000000001</v>
      </c>
      <c r="S151" s="24">
        <v>-3.2269999999999999</v>
      </c>
    </row>
    <row r="152" spans="1:19" x14ac:dyDescent="0.2">
      <c r="A152" s="2" t="s">
        <v>340</v>
      </c>
      <c r="F152" s="54">
        <f>SUM(F$150:F$151)</f>
        <v>36.805</v>
      </c>
      <c r="G152" s="54">
        <f t="shared" ref="G152:S152" si="27">SUM(G$150:G$151)</f>
        <v>37.744999999999997</v>
      </c>
      <c r="H152" s="54">
        <f t="shared" si="27"/>
        <v>50.972999999999999</v>
      </c>
      <c r="I152" s="54">
        <f t="shared" si="27"/>
        <v>58.890999999999998</v>
      </c>
      <c r="J152" s="54">
        <f t="shared" si="27"/>
        <v>77.290000000000006</v>
      </c>
      <c r="K152" s="54">
        <f t="shared" si="27"/>
        <v>84.168000000000006</v>
      </c>
      <c r="L152" s="54">
        <f t="shared" si="27"/>
        <v>84.286000000000001</v>
      </c>
      <c r="M152" s="54">
        <f t="shared" si="27"/>
        <v>88.468000000000004</v>
      </c>
      <c r="N152" s="54">
        <f t="shared" si="27"/>
        <v>93.156000000000006</v>
      </c>
      <c r="O152" s="54">
        <f t="shared" si="27"/>
        <v>94.912999999999997</v>
      </c>
      <c r="P152" s="54">
        <f t="shared" si="27"/>
        <v>103.46599999999999</v>
      </c>
      <c r="Q152" s="54">
        <f t="shared" si="27"/>
        <v>100.71599999999999</v>
      </c>
      <c r="R152" s="54">
        <f t="shared" si="27"/>
        <v>97.697000000000003</v>
      </c>
      <c r="S152" s="54">
        <f t="shared" si="27"/>
        <v>99.135999999999996</v>
      </c>
    </row>
    <row r="153" spans="1:19" x14ac:dyDescent="0.2">
      <c r="A153" s="3" t="s">
        <v>338</v>
      </c>
      <c r="F153" s="21">
        <v>44.271999999999998</v>
      </c>
      <c r="G153" s="21">
        <v>50.698</v>
      </c>
      <c r="H153" s="21">
        <v>55.768999999999998</v>
      </c>
      <c r="I153" s="21">
        <v>57.209000000000003</v>
      </c>
      <c r="J153" s="21">
        <v>65.400000000000006</v>
      </c>
      <c r="K153" s="21">
        <v>64.016999999999996</v>
      </c>
      <c r="L153" s="21">
        <v>62.984000000000002</v>
      </c>
      <c r="M153" s="21">
        <v>68.046999999999997</v>
      </c>
      <c r="N153" s="21">
        <v>76.433999999999997</v>
      </c>
      <c r="O153" s="24">
        <v>75.212999999999994</v>
      </c>
      <c r="P153" s="24">
        <v>80.84</v>
      </c>
      <c r="Q153" s="24">
        <v>77.722999999999999</v>
      </c>
      <c r="R153" s="24">
        <v>77.741</v>
      </c>
      <c r="S153" s="24">
        <v>83.314999999999998</v>
      </c>
    </row>
    <row r="154" spans="1:19" x14ac:dyDescent="0.2">
      <c r="A154" s="2" t="s">
        <v>339</v>
      </c>
      <c r="F154" s="54">
        <f>SUM(F$152,-F$153)</f>
        <v>-7.4669999999999987</v>
      </c>
      <c r="G154" s="54">
        <f t="shared" ref="G154:S154" si="28">SUM(G$152,-G$153)</f>
        <v>-12.953000000000003</v>
      </c>
      <c r="H154" s="54">
        <f t="shared" si="28"/>
        <v>-4.7959999999999994</v>
      </c>
      <c r="I154" s="54">
        <f t="shared" si="28"/>
        <v>1.6819999999999951</v>
      </c>
      <c r="J154" s="54">
        <f t="shared" si="28"/>
        <v>11.89</v>
      </c>
      <c r="K154" s="54">
        <f t="shared" si="28"/>
        <v>20.15100000000001</v>
      </c>
      <c r="L154" s="54">
        <f t="shared" si="28"/>
        <v>21.302</v>
      </c>
      <c r="M154" s="54">
        <f t="shared" si="28"/>
        <v>20.421000000000006</v>
      </c>
      <c r="N154" s="54">
        <f t="shared" si="28"/>
        <v>16.722000000000008</v>
      </c>
      <c r="O154" s="54">
        <f t="shared" si="28"/>
        <v>19.700000000000003</v>
      </c>
      <c r="P154" s="54">
        <f t="shared" si="28"/>
        <v>22.625999999999991</v>
      </c>
      <c r="Q154" s="54">
        <f t="shared" si="28"/>
        <v>22.992999999999995</v>
      </c>
      <c r="R154" s="54">
        <f t="shared" si="28"/>
        <v>19.956000000000003</v>
      </c>
      <c r="S154" s="54">
        <f t="shared" si="28"/>
        <v>15.820999999999998</v>
      </c>
    </row>
    <row r="155" spans="1:19" x14ac:dyDescent="0.2">
      <c r="A155" s="3" t="s">
        <v>812</v>
      </c>
      <c r="F155" s="21">
        <v>9.0869999999999997</v>
      </c>
      <c r="G155" s="21">
        <v>10.276999999999999</v>
      </c>
      <c r="H155" s="21">
        <v>10.429</v>
      </c>
      <c r="I155" s="21">
        <v>10.867000000000001</v>
      </c>
      <c r="J155" s="21">
        <v>12.079000000000001</v>
      </c>
      <c r="K155" s="21">
        <v>13.324</v>
      </c>
      <c r="L155" s="21">
        <v>13.125999999999999</v>
      </c>
      <c r="M155" s="21">
        <v>13.753</v>
      </c>
      <c r="N155" s="21">
        <v>14.14</v>
      </c>
      <c r="O155" s="24">
        <v>14.613</v>
      </c>
      <c r="P155" s="24">
        <v>14.992000000000001</v>
      </c>
      <c r="Q155" s="24">
        <v>15.285</v>
      </c>
      <c r="R155" s="24">
        <v>15.509</v>
      </c>
      <c r="S155" s="24">
        <v>15.554</v>
      </c>
    </row>
    <row r="156" spans="1:19" x14ac:dyDescent="0.2">
      <c r="A156" s="3" t="s">
        <v>813</v>
      </c>
      <c r="F156" s="21">
        <v>11.576000000000001</v>
      </c>
      <c r="G156" s="21">
        <v>12.933999999999999</v>
      </c>
      <c r="H156" s="21">
        <v>11.486000000000001</v>
      </c>
      <c r="I156" s="21">
        <v>14.189</v>
      </c>
      <c r="J156" s="21">
        <v>16.158999999999999</v>
      </c>
      <c r="K156" s="21">
        <v>17.196000000000002</v>
      </c>
      <c r="L156" s="21">
        <v>21.407</v>
      </c>
      <c r="M156" s="21">
        <v>25.757000000000001</v>
      </c>
      <c r="N156" s="21">
        <v>29.768999999999998</v>
      </c>
      <c r="O156" s="24">
        <v>31.577000000000002</v>
      </c>
      <c r="P156" s="24">
        <v>33.072000000000003</v>
      </c>
      <c r="Q156" s="24">
        <v>35.143000000000001</v>
      </c>
      <c r="R156" s="24">
        <v>37.36</v>
      </c>
      <c r="S156" s="24">
        <v>39.734999999999999</v>
      </c>
    </row>
    <row r="157" spans="1:19" x14ac:dyDescent="0.2">
      <c r="A157" s="2" t="s">
        <v>814</v>
      </c>
      <c r="F157" s="23">
        <v>13.195999999999998</v>
      </c>
      <c r="G157" s="23">
        <v>10.257999999999996</v>
      </c>
      <c r="H157" s="23">
        <v>17.119000000000007</v>
      </c>
      <c r="I157" s="23">
        <v>26.738</v>
      </c>
      <c r="J157" s="23">
        <v>40.127999999999986</v>
      </c>
      <c r="K157" s="23">
        <v>50.671000000000006</v>
      </c>
      <c r="L157" s="23">
        <v>55.835000000000001</v>
      </c>
      <c r="M157" s="23">
        <v>59.930999999999997</v>
      </c>
      <c r="N157" s="23">
        <v>60.631</v>
      </c>
      <c r="O157" s="25">
        <v>65.89</v>
      </c>
      <c r="P157" s="25">
        <v>70.69</v>
      </c>
      <c r="Q157" s="25">
        <v>73.421000000000006</v>
      </c>
      <c r="R157" s="25">
        <v>72.825000000000003</v>
      </c>
      <c r="S157" s="25">
        <v>71.11</v>
      </c>
    </row>
    <row r="158" spans="1:19" x14ac:dyDescent="0.2">
      <c r="A158" s="2" t="s">
        <v>341</v>
      </c>
      <c r="F158" s="7" t="str">
        <f>IF(ROUND(F$157-SUM(F$152,-F$153,F$155,F$156),3)=0,"OK","ERROR")</f>
        <v>OK</v>
      </c>
      <c r="G158" s="7" t="str">
        <f t="shared" ref="G158:S158" si="29">IF(ROUND(G$157-SUM(G$152,-G$153,G$155,G$156),3)=0,"OK","ERROR")</f>
        <v>OK</v>
      </c>
      <c r="H158" s="7" t="str">
        <f t="shared" si="29"/>
        <v>OK</v>
      </c>
      <c r="I158" s="7" t="str">
        <f t="shared" si="29"/>
        <v>OK</v>
      </c>
      <c r="J158" s="7" t="str">
        <f t="shared" si="29"/>
        <v>OK</v>
      </c>
      <c r="K158" s="7" t="str">
        <f t="shared" si="29"/>
        <v>OK</v>
      </c>
      <c r="L158" s="7" t="str">
        <f t="shared" si="29"/>
        <v>OK</v>
      </c>
      <c r="M158" s="7" t="str">
        <f t="shared" si="29"/>
        <v>OK</v>
      </c>
      <c r="N158" s="7" t="str">
        <f t="shared" si="29"/>
        <v>OK</v>
      </c>
      <c r="O158" s="7" t="str">
        <f t="shared" si="29"/>
        <v>OK</v>
      </c>
      <c r="P158" s="7" t="str">
        <f t="shared" si="29"/>
        <v>OK</v>
      </c>
      <c r="Q158" s="7" t="str">
        <f t="shared" si="29"/>
        <v>OK</v>
      </c>
      <c r="R158" s="7" t="str">
        <f t="shared" si="29"/>
        <v>OK</v>
      </c>
      <c r="S158" s="7" t="str">
        <f t="shared" si="29"/>
        <v>OK</v>
      </c>
    </row>
    <row r="159" spans="1:19" x14ac:dyDescent="0.2">
      <c r="A159" s="3" t="s">
        <v>342</v>
      </c>
      <c r="F159" s="21">
        <v>7.758</v>
      </c>
      <c r="G159" s="21">
        <v>7.9550000000000001</v>
      </c>
      <c r="H159" s="21">
        <v>9.2170000000000005</v>
      </c>
      <c r="I159" s="21">
        <v>6.9</v>
      </c>
      <c r="J159" s="21">
        <v>6.47</v>
      </c>
      <c r="K159" s="21">
        <v>6.133</v>
      </c>
      <c r="L159" s="21">
        <v>7.9020000000000001</v>
      </c>
      <c r="M159" s="21">
        <v>8.1120000000000001</v>
      </c>
      <c r="N159" s="21">
        <v>8.6310000000000002</v>
      </c>
      <c r="O159" s="24">
        <v>9.39</v>
      </c>
      <c r="P159" s="24">
        <v>9.39</v>
      </c>
      <c r="Q159" s="24">
        <v>9.39</v>
      </c>
      <c r="R159" s="24">
        <v>9.39</v>
      </c>
      <c r="S159" s="24">
        <v>9.39</v>
      </c>
    </row>
    <row r="160" spans="1:19" x14ac:dyDescent="0.2">
      <c r="A160" s="3" t="s">
        <v>343</v>
      </c>
      <c r="F160" s="21">
        <v>1.6</v>
      </c>
      <c r="G160" s="21">
        <v>1.6</v>
      </c>
      <c r="H160" s="21">
        <v>1.6</v>
      </c>
      <c r="I160" s="21">
        <v>1.6</v>
      </c>
      <c r="J160" s="21">
        <v>1.6</v>
      </c>
      <c r="K160" s="21">
        <v>1.6</v>
      </c>
      <c r="L160" s="21">
        <v>1.6</v>
      </c>
      <c r="M160" s="21">
        <v>1.6</v>
      </c>
      <c r="N160" s="21">
        <v>1.6</v>
      </c>
      <c r="O160" s="24">
        <v>1.6</v>
      </c>
      <c r="P160" s="24">
        <v>1.6</v>
      </c>
      <c r="Q160" s="24">
        <v>1.6</v>
      </c>
      <c r="R160" s="24">
        <v>1.6</v>
      </c>
      <c r="S160" s="24">
        <v>1.6</v>
      </c>
    </row>
    <row r="161" spans="1:19" x14ac:dyDescent="0.2">
      <c r="A161" s="2" t="s">
        <v>344</v>
      </c>
      <c r="F161" s="54">
        <f>SUM(F$152,-F$159,F$160)</f>
        <v>30.647000000000002</v>
      </c>
      <c r="G161" s="54">
        <f t="shared" ref="G161:S161" si="30">SUM(G$152,-G$159,G$160)</f>
        <v>31.39</v>
      </c>
      <c r="H161" s="54">
        <f t="shared" si="30"/>
        <v>43.356000000000002</v>
      </c>
      <c r="I161" s="54">
        <f t="shared" si="30"/>
        <v>53.591000000000001</v>
      </c>
      <c r="J161" s="54">
        <f t="shared" si="30"/>
        <v>72.42</v>
      </c>
      <c r="K161" s="54">
        <f t="shared" si="30"/>
        <v>79.635000000000005</v>
      </c>
      <c r="L161" s="54">
        <f t="shared" si="30"/>
        <v>77.983999999999995</v>
      </c>
      <c r="M161" s="54">
        <f t="shared" si="30"/>
        <v>81.956000000000003</v>
      </c>
      <c r="N161" s="54">
        <f t="shared" si="30"/>
        <v>86.125</v>
      </c>
      <c r="O161" s="54">
        <f t="shared" si="30"/>
        <v>87.12299999999999</v>
      </c>
      <c r="P161" s="54">
        <f t="shared" si="30"/>
        <v>95.675999999999988</v>
      </c>
      <c r="Q161" s="54">
        <f t="shared" si="30"/>
        <v>92.925999999999988</v>
      </c>
      <c r="R161" s="54">
        <f t="shared" si="30"/>
        <v>89.906999999999996</v>
      </c>
      <c r="S161" s="54">
        <f t="shared" si="30"/>
        <v>91.345999999999989</v>
      </c>
    </row>
    <row r="162" spans="1:19" x14ac:dyDescent="0.2">
      <c r="A162" s="31" t="s">
        <v>395</v>
      </c>
    </row>
    <row r="163" spans="1:19" x14ac:dyDescent="0.2">
      <c r="A163" s="3" t="s">
        <v>396</v>
      </c>
      <c r="F163" s="21">
        <v>53.476999999999997</v>
      </c>
      <c r="G163" s="21">
        <v>56.747</v>
      </c>
      <c r="H163" s="21">
        <v>54.680999999999997</v>
      </c>
      <c r="I163" s="21">
        <v>50.744</v>
      </c>
      <c r="J163" s="21">
        <v>51.557000000000002</v>
      </c>
      <c r="K163" s="21">
        <v>55.081000000000003</v>
      </c>
      <c r="L163" s="21">
        <v>58.651000000000003</v>
      </c>
      <c r="M163" s="21">
        <v>61.563000000000002</v>
      </c>
      <c r="N163" s="21">
        <v>66.635999999999996</v>
      </c>
      <c r="O163" s="24">
        <v>68.414000000000001</v>
      </c>
      <c r="P163" s="24">
        <v>71.004999999999995</v>
      </c>
      <c r="Q163" s="24">
        <v>75.128</v>
      </c>
      <c r="R163" s="24">
        <v>79.930000000000007</v>
      </c>
      <c r="S163" s="24">
        <v>84.021000000000001</v>
      </c>
    </row>
    <row r="164" spans="1:19" x14ac:dyDescent="0.2">
      <c r="A164" s="3" t="s">
        <v>404</v>
      </c>
      <c r="F164" s="21">
        <v>0.63600000000000001</v>
      </c>
      <c r="G164" s="21">
        <v>0.73299999999999998</v>
      </c>
      <c r="H164" s="21">
        <v>0.80800000000000005</v>
      </c>
      <c r="I164" s="21">
        <v>1.0149999999999999</v>
      </c>
      <c r="J164" s="21">
        <v>1.2749999999999999</v>
      </c>
      <c r="K164" s="21">
        <v>0.93500000000000005</v>
      </c>
      <c r="L164" s="21">
        <v>1.133</v>
      </c>
      <c r="M164" s="21">
        <v>0.878</v>
      </c>
      <c r="N164" s="21">
        <v>0.99299999999999999</v>
      </c>
      <c r="O164" s="24">
        <v>1.05</v>
      </c>
      <c r="P164" s="24">
        <v>1.0660000000000001</v>
      </c>
      <c r="Q164" s="24">
        <v>1.0760000000000001</v>
      </c>
      <c r="R164" s="24">
        <v>1.091</v>
      </c>
      <c r="S164" s="24">
        <v>1.107</v>
      </c>
    </row>
    <row r="165" spans="1:19" x14ac:dyDescent="0.2">
      <c r="A165" s="3" t="s">
        <v>407</v>
      </c>
      <c r="F165" s="21">
        <v>1.095</v>
      </c>
      <c r="G165" s="21">
        <v>1.097</v>
      </c>
      <c r="H165" s="21">
        <v>1.2370000000000001</v>
      </c>
      <c r="I165" s="21">
        <v>1.387</v>
      </c>
      <c r="J165" s="21">
        <v>1.4430000000000001</v>
      </c>
      <c r="K165" s="21">
        <v>1.448</v>
      </c>
      <c r="L165" s="21">
        <v>1.4610000000000001</v>
      </c>
      <c r="M165" s="21">
        <v>1.488</v>
      </c>
      <c r="N165" s="21">
        <v>1.393</v>
      </c>
      <c r="O165" s="24">
        <v>1.409</v>
      </c>
      <c r="P165" s="24">
        <v>1.4370000000000001</v>
      </c>
      <c r="Q165" s="24">
        <v>1.5149999999999999</v>
      </c>
      <c r="R165" s="24">
        <v>1.5509999999999999</v>
      </c>
      <c r="S165" s="24">
        <v>1.56</v>
      </c>
    </row>
    <row r="166" spans="1:19" x14ac:dyDescent="0.2">
      <c r="A166" s="3" t="s">
        <v>420</v>
      </c>
      <c r="F166" s="21">
        <v>0.42299999999999999</v>
      </c>
      <c r="G166" s="21">
        <v>0.89800000000000002</v>
      </c>
      <c r="H166" s="21">
        <v>0.88400000000000001</v>
      </c>
      <c r="I166" s="21">
        <v>0.93500000000000005</v>
      </c>
      <c r="J166" s="21">
        <v>1.1060000000000001</v>
      </c>
      <c r="K166" s="21">
        <v>1.306</v>
      </c>
      <c r="L166" s="21">
        <v>0.8</v>
      </c>
      <c r="M166" s="21">
        <v>0.83899999999999997</v>
      </c>
      <c r="N166" s="21">
        <v>0.73899999999999999</v>
      </c>
      <c r="O166" s="24">
        <v>0.626</v>
      </c>
      <c r="P166" s="24">
        <v>0.58699999999999997</v>
      </c>
      <c r="Q166" s="24">
        <v>0.56599999999999995</v>
      </c>
      <c r="R166" s="24">
        <v>0.54300000000000004</v>
      </c>
      <c r="S166" s="24">
        <v>0.54300000000000004</v>
      </c>
    </row>
    <row r="167" spans="1:19" x14ac:dyDescent="0.2">
      <c r="A167" s="3" t="s">
        <v>452</v>
      </c>
      <c r="F167" s="21">
        <v>16.452999999999999</v>
      </c>
      <c r="G167" s="21">
        <v>18.518999999999998</v>
      </c>
      <c r="H167" s="21">
        <v>20.244</v>
      </c>
      <c r="I167" s="21">
        <v>21.484000000000002</v>
      </c>
      <c r="J167" s="21">
        <v>22.227</v>
      </c>
      <c r="K167" s="21">
        <v>22.367000000000001</v>
      </c>
      <c r="L167" s="21">
        <v>22.709</v>
      </c>
      <c r="M167" s="21">
        <v>23.36</v>
      </c>
      <c r="N167" s="21">
        <v>23.722999999999999</v>
      </c>
      <c r="O167" s="24">
        <v>24.484999999999999</v>
      </c>
      <c r="P167" s="24">
        <v>25.565999999999999</v>
      </c>
      <c r="Q167" s="24">
        <v>26.44</v>
      </c>
      <c r="R167" s="24">
        <v>27.202999999999999</v>
      </c>
      <c r="S167" s="24">
        <v>28.353000000000002</v>
      </c>
    </row>
    <row r="168" spans="1:19" x14ac:dyDescent="0.2">
      <c r="A168" s="3" t="s">
        <v>457</v>
      </c>
      <c r="F168" s="21">
        <v>3.665</v>
      </c>
      <c r="G168" s="21">
        <v>4.3070000000000004</v>
      </c>
      <c r="H168" s="21">
        <v>4.7270000000000003</v>
      </c>
      <c r="I168" s="21">
        <v>3.8479999999999999</v>
      </c>
      <c r="J168" s="21">
        <v>3.9449999999999998</v>
      </c>
      <c r="K168" s="21">
        <v>4.0090000000000003</v>
      </c>
      <c r="L168" s="21">
        <v>4.1509999999999998</v>
      </c>
      <c r="M168" s="21">
        <v>4.5259999999999998</v>
      </c>
      <c r="N168" s="21">
        <v>5.2460000000000004</v>
      </c>
      <c r="O168" s="24">
        <v>5.1260000000000003</v>
      </c>
      <c r="P168" s="24">
        <v>5.31</v>
      </c>
      <c r="Q168" s="24">
        <v>5.49</v>
      </c>
      <c r="R168" s="24">
        <v>5.8159999999999998</v>
      </c>
      <c r="S168" s="24">
        <v>6.0519999999999996</v>
      </c>
    </row>
    <row r="169" spans="1:19" x14ac:dyDescent="0.2">
      <c r="A169" s="3" t="s">
        <v>490</v>
      </c>
      <c r="F169" s="21">
        <v>1.7999999999999999E-2</v>
      </c>
      <c r="G169" s="21">
        <v>0.01</v>
      </c>
      <c r="H169" s="21">
        <v>3.2000000000000001E-2</v>
      </c>
      <c r="I169" s="21">
        <v>0.02</v>
      </c>
      <c r="J169" s="21">
        <v>2.1999999999999999E-2</v>
      </c>
      <c r="K169" s="21">
        <v>3.0000000000000001E-3</v>
      </c>
      <c r="L169" s="21">
        <v>1E-3</v>
      </c>
      <c r="M169" s="21">
        <v>0</v>
      </c>
      <c r="N169" s="21">
        <v>6.0000000000000001E-3</v>
      </c>
      <c r="O169" s="24">
        <v>2E-3</v>
      </c>
      <c r="P169" s="24">
        <v>8.0000000000000002E-3</v>
      </c>
      <c r="Q169" s="24">
        <v>8.9999999999999993E-3</v>
      </c>
      <c r="R169" s="24">
        <v>6.0000000000000001E-3</v>
      </c>
      <c r="S169" s="24">
        <v>8.0000000000000002E-3</v>
      </c>
    </row>
    <row r="170" spans="1:19" x14ac:dyDescent="0.2">
      <c r="A170" s="3" t="s">
        <v>733</v>
      </c>
      <c r="F170" s="21">
        <v>2.9569999999999999</v>
      </c>
      <c r="G170" s="21">
        <v>3.5529999999999999</v>
      </c>
      <c r="H170" s="21">
        <v>3.85</v>
      </c>
      <c r="I170" s="21">
        <v>2.9860000000000002</v>
      </c>
      <c r="J170" s="21">
        <v>14.906000000000001</v>
      </c>
      <c r="K170" s="21">
        <v>4.3230000000000004</v>
      </c>
      <c r="L170" s="21">
        <v>3.0110000000000001</v>
      </c>
      <c r="M170" s="21">
        <v>3.464</v>
      </c>
      <c r="N170" s="21">
        <v>4.085</v>
      </c>
      <c r="O170" s="24">
        <v>3.9889999999999999</v>
      </c>
      <c r="P170" s="24">
        <v>4.1029999999999998</v>
      </c>
      <c r="Q170" s="24">
        <v>4.3959999999999999</v>
      </c>
      <c r="R170" s="24">
        <v>4.742</v>
      </c>
      <c r="S170" s="24">
        <v>4.9580000000000002</v>
      </c>
    </row>
    <row r="171" spans="1:19" x14ac:dyDescent="0.2">
      <c r="A171" s="3" t="s">
        <v>734</v>
      </c>
      <c r="F171" s="21">
        <v>0</v>
      </c>
      <c r="G171" s="21">
        <v>0</v>
      </c>
      <c r="H171" s="21">
        <v>0</v>
      </c>
      <c r="I171" s="21">
        <v>0</v>
      </c>
      <c r="J171" s="21">
        <v>0</v>
      </c>
      <c r="K171" s="21">
        <v>0.36299999999999999</v>
      </c>
      <c r="L171" s="21">
        <v>1.4999999999999999E-2</v>
      </c>
      <c r="M171" s="21">
        <v>1.4E-2</v>
      </c>
      <c r="N171" s="21">
        <v>1.0999999999999999E-2</v>
      </c>
      <c r="O171" s="24">
        <v>8.0000000000000002E-3</v>
      </c>
      <c r="P171" s="24">
        <v>8.0000000000000002E-3</v>
      </c>
      <c r="Q171" s="24">
        <v>8.0000000000000002E-3</v>
      </c>
      <c r="R171" s="24">
        <v>8.0000000000000002E-3</v>
      </c>
      <c r="S171" s="24">
        <v>8.0000000000000002E-3</v>
      </c>
    </row>
    <row r="172" spans="1:19" x14ac:dyDescent="0.2">
      <c r="A172" s="3" t="s">
        <v>738</v>
      </c>
      <c r="F172" s="21">
        <v>8.9719999999999995</v>
      </c>
      <c r="G172" s="21">
        <v>9.7910000000000004</v>
      </c>
      <c r="H172" s="21">
        <v>10.839</v>
      </c>
      <c r="I172" s="21">
        <v>11.07</v>
      </c>
      <c r="J172" s="21">
        <v>11.467000000000001</v>
      </c>
      <c r="K172" s="21">
        <v>11.907</v>
      </c>
      <c r="L172" s="21">
        <v>12.236000000000001</v>
      </c>
      <c r="M172" s="21">
        <v>12.64</v>
      </c>
      <c r="N172" s="21">
        <v>12.922000000000001</v>
      </c>
      <c r="O172" s="24">
        <v>13.218999999999999</v>
      </c>
      <c r="P172" s="24">
        <v>13.166</v>
      </c>
      <c r="Q172" s="24">
        <v>13.151</v>
      </c>
      <c r="R172" s="24">
        <v>13.156000000000001</v>
      </c>
      <c r="S172" s="24">
        <v>13.148999999999999</v>
      </c>
    </row>
    <row r="173" spans="1:19" x14ac:dyDescent="0.2">
      <c r="A173" s="3" t="s">
        <v>735</v>
      </c>
      <c r="F173" s="21">
        <v>6.9</v>
      </c>
      <c r="G173" s="21">
        <v>8.0690000000000008</v>
      </c>
      <c r="H173" s="21">
        <v>8.7569999999999997</v>
      </c>
      <c r="I173" s="21">
        <v>9.01</v>
      </c>
      <c r="J173" s="21">
        <v>9.1760000000000002</v>
      </c>
      <c r="K173" s="21">
        <v>9.3650000000000002</v>
      </c>
      <c r="L173" s="21">
        <v>9.5939999999999994</v>
      </c>
      <c r="M173" s="21">
        <v>9.6219999999999999</v>
      </c>
      <c r="N173" s="21">
        <v>9.8529999999999998</v>
      </c>
      <c r="O173" s="24">
        <v>10.185</v>
      </c>
      <c r="P173" s="24">
        <v>10.206</v>
      </c>
      <c r="Q173" s="24">
        <v>10.161</v>
      </c>
      <c r="R173" s="24">
        <v>10.099</v>
      </c>
      <c r="S173" s="24">
        <v>10.134</v>
      </c>
    </row>
    <row r="174" spans="1:19" x14ac:dyDescent="0.2">
      <c r="A174" s="3" t="s">
        <v>736</v>
      </c>
      <c r="F174" s="21">
        <v>2.4E-2</v>
      </c>
      <c r="G174" s="21">
        <v>2.5000000000000001E-2</v>
      </c>
      <c r="H174" s="21">
        <v>2.1999999999999999E-2</v>
      </c>
      <c r="I174" s="21">
        <v>2.3E-2</v>
      </c>
      <c r="J174" s="21">
        <v>2.3E-2</v>
      </c>
      <c r="K174" s="21">
        <v>2.8000000000000001E-2</v>
      </c>
      <c r="L174" s="21">
        <v>1.9E-2</v>
      </c>
      <c r="M174" s="21">
        <v>4.0000000000000001E-3</v>
      </c>
      <c r="N174" s="21">
        <v>0</v>
      </c>
      <c r="O174" s="24">
        <v>0</v>
      </c>
      <c r="P174" s="24">
        <v>0</v>
      </c>
      <c r="Q174" s="24">
        <v>0</v>
      </c>
      <c r="R174" s="24">
        <v>0</v>
      </c>
      <c r="S174" s="24">
        <v>0</v>
      </c>
    </row>
    <row r="175" spans="1:19" x14ac:dyDescent="0.2">
      <c r="A175" s="3" t="s">
        <v>524</v>
      </c>
      <c r="F175" s="21">
        <v>1.5980000000000001</v>
      </c>
      <c r="G175" s="21">
        <v>1.7370000000000001</v>
      </c>
      <c r="H175" s="21">
        <v>2.032</v>
      </c>
      <c r="I175" s="21">
        <v>2.1080000000000001</v>
      </c>
      <c r="J175" s="21">
        <v>2.117</v>
      </c>
      <c r="K175" s="21">
        <v>2.13</v>
      </c>
      <c r="L175" s="21">
        <v>2.25</v>
      </c>
      <c r="M175" s="21">
        <v>2.2890000000000001</v>
      </c>
      <c r="N175" s="21">
        <v>2.5640000000000001</v>
      </c>
      <c r="O175" s="24">
        <v>2.6669999999999998</v>
      </c>
      <c r="P175" s="24">
        <v>2.6909999999999998</v>
      </c>
      <c r="Q175" s="24">
        <v>2.7040000000000002</v>
      </c>
      <c r="R175" s="24">
        <v>2.681</v>
      </c>
      <c r="S175" s="24">
        <v>2.63</v>
      </c>
    </row>
    <row r="176" spans="1:19" x14ac:dyDescent="0.2">
      <c r="A176" s="3" t="s">
        <v>525</v>
      </c>
      <c r="F176" s="21">
        <v>5.3380000000000001</v>
      </c>
      <c r="G176" s="21">
        <v>5.8319999999999999</v>
      </c>
      <c r="H176" s="21">
        <v>6.7670000000000003</v>
      </c>
      <c r="I176" s="21">
        <v>5.9770000000000003</v>
      </c>
      <c r="J176" s="21">
        <v>6.2030000000000003</v>
      </c>
      <c r="K176" s="21">
        <v>8.1020000000000003</v>
      </c>
      <c r="L176" s="21">
        <v>6.891</v>
      </c>
      <c r="M176" s="21">
        <v>6.9089999999999998</v>
      </c>
      <c r="N176" s="21">
        <v>6.9189999999999996</v>
      </c>
      <c r="O176" s="24">
        <v>7.1189999999999998</v>
      </c>
      <c r="P176" s="24">
        <v>7.3819999999999997</v>
      </c>
      <c r="Q176" s="24">
        <v>7.6589999999999998</v>
      </c>
      <c r="R176" s="24">
        <v>7.8689999999999998</v>
      </c>
      <c r="S176" s="24">
        <v>8.0890000000000004</v>
      </c>
    </row>
    <row r="177" spans="1:19" x14ac:dyDescent="0.2">
      <c r="A177" s="3" t="s">
        <v>731</v>
      </c>
      <c r="F177" s="21">
        <v>3.7570000000000001</v>
      </c>
      <c r="G177" s="21">
        <v>4.1440000000000001</v>
      </c>
      <c r="H177" s="21">
        <v>4.4210000000000003</v>
      </c>
      <c r="I177" s="21">
        <v>5.3860000000000001</v>
      </c>
      <c r="J177" s="21">
        <v>16.375</v>
      </c>
      <c r="K177" s="21">
        <v>5.585</v>
      </c>
      <c r="L177" s="21">
        <v>4.3940000000000001</v>
      </c>
      <c r="M177" s="21">
        <v>4.625</v>
      </c>
      <c r="N177" s="21">
        <v>4.8250000000000002</v>
      </c>
      <c r="O177" s="24">
        <v>5.2729999999999997</v>
      </c>
      <c r="P177" s="24">
        <v>5.32</v>
      </c>
      <c r="Q177" s="24">
        <v>5.4820000000000002</v>
      </c>
      <c r="R177" s="24">
        <v>5.5839999999999996</v>
      </c>
      <c r="S177" s="24">
        <v>5.67</v>
      </c>
    </row>
    <row r="178" spans="1:19" x14ac:dyDescent="0.2">
      <c r="A178" s="3" t="s">
        <v>732</v>
      </c>
      <c r="F178" s="21">
        <v>4.9569999999999999</v>
      </c>
      <c r="G178" s="21">
        <v>7.2619999999999996</v>
      </c>
      <c r="H178" s="21">
        <v>5.859</v>
      </c>
      <c r="I178" s="21">
        <v>5.9669999999999996</v>
      </c>
      <c r="J178" s="21">
        <v>6.1959999999999997</v>
      </c>
      <c r="K178" s="21">
        <v>8.2260000000000009</v>
      </c>
      <c r="L178" s="21">
        <v>7.5940000000000003</v>
      </c>
      <c r="M178" s="21">
        <v>6.8339999999999996</v>
      </c>
      <c r="N178" s="21">
        <v>7.01</v>
      </c>
      <c r="O178" s="24">
        <v>6.5369999999999999</v>
      </c>
      <c r="P178" s="24">
        <v>6.8</v>
      </c>
      <c r="Q178" s="24">
        <v>7.0880000000000001</v>
      </c>
      <c r="R178" s="24">
        <v>7.0439999999999996</v>
      </c>
      <c r="S178" s="24">
        <v>7.0579999999999998</v>
      </c>
    </row>
    <row r="179" spans="1:19" x14ac:dyDescent="0.2">
      <c r="A179" s="3" t="s">
        <v>740</v>
      </c>
      <c r="F179" s="21">
        <v>-3.08</v>
      </c>
      <c r="G179" s="21">
        <v>-2.3719999999999999</v>
      </c>
      <c r="H179" s="21">
        <v>-2.4590000000000001</v>
      </c>
      <c r="I179" s="21">
        <v>-3.72</v>
      </c>
      <c r="J179" s="21">
        <v>-3.1030000000000002</v>
      </c>
      <c r="K179" s="21">
        <v>-2.6139999999999999</v>
      </c>
      <c r="L179" s="21">
        <v>-2.573</v>
      </c>
      <c r="M179" s="21">
        <v>-2.6659999999999999</v>
      </c>
      <c r="N179" s="21">
        <v>-2.698</v>
      </c>
      <c r="O179" s="24">
        <v>-2.871</v>
      </c>
      <c r="P179" s="24">
        <v>-2.9420000000000002</v>
      </c>
      <c r="Q179" s="24">
        <v>-2.8940000000000001</v>
      </c>
      <c r="R179" s="24">
        <v>-2.887</v>
      </c>
      <c r="S179" s="24">
        <v>-2.94</v>
      </c>
    </row>
    <row r="180" spans="1:19" x14ac:dyDescent="0.2">
      <c r="A180" s="3" t="s">
        <v>596</v>
      </c>
      <c r="F180" s="21">
        <v>-3.9E-2</v>
      </c>
      <c r="G180" s="21">
        <v>8.3000000000000004E-2</v>
      </c>
      <c r="H180" s="21">
        <v>0.152</v>
      </c>
      <c r="I180" s="21">
        <v>5.5E-2</v>
      </c>
      <c r="J180" s="21">
        <v>0.10299999999999999</v>
      </c>
      <c r="K180" s="21">
        <v>0.104</v>
      </c>
      <c r="L180" s="21">
        <v>0.153</v>
      </c>
      <c r="M180" s="21">
        <v>0.108</v>
      </c>
      <c r="N180" s="21">
        <v>0.35899999999999999</v>
      </c>
      <c r="O180" s="24">
        <v>7.9000000000000001E-2</v>
      </c>
      <c r="P180" s="24">
        <v>9.1999999999999998E-2</v>
      </c>
      <c r="Q180" s="24">
        <v>9.4E-2</v>
      </c>
      <c r="R180" s="24">
        <v>0.09</v>
      </c>
      <c r="S180" s="24">
        <v>9.2999999999999999E-2</v>
      </c>
    </row>
    <row r="181" spans="1:19" x14ac:dyDescent="0.2">
      <c r="A181" s="2" t="s">
        <v>703</v>
      </c>
      <c r="F181" s="7" t="str">
        <f>IF(ROUND(F$300-SUM(F$163:F$166,F$217)+SUM(F$167,F$169,F$239,F$245,F$251,F$257,F$21,F$22)-SUM(F$284,F$294)-F$180,3)=0,"OK","ERROR")</f>
        <v>OK</v>
      </c>
      <c r="G181" s="92" t="str">
        <f>IF(ROUND(G$300-SUM(G$163:G$166,G$217)+SUM(G$167,G$169,G$239,G$245,G$251,G$257,G$21,G$22)-SUM(G$284,G$294)-G$180-0.002,3)=0,"OK","ERROR")</f>
        <v>OK</v>
      </c>
      <c r="H181" s="92" t="str">
        <f>IF(ROUND(H$300-SUM(H$163:H$166,H$217)+SUM(H$167,H$169,H$239,H$245,H$251,H$257,H$21,H$22)-SUM(H$284,H$294)-H$180+0.001,3)=0,"OK","ERROR")</f>
        <v>OK</v>
      </c>
      <c r="I181" s="92" t="str">
        <f>IF(ROUND(I$300-SUM(I$163:I$166,I$217)+SUM(I$167,I$169,I$239,I$245,I$251,I$257,I$21,I$22)-SUM(I$284,I$294)-I$180+0.001,3)=0,"OK","ERROR")</f>
        <v>OK</v>
      </c>
      <c r="J181" s="92" t="str">
        <f>IF(ROUND(J$300-SUM(J$163:J$166,J$217)+SUM(J$167,J$169,J$239,J$245,J$251,J$257,J$21,J$22)-SUM(J$284,J$294)-J$180-0.002,3)=0,"OK","ERROR")</f>
        <v>OK</v>
      </c>
      <c r="K181" s="7" t="str">
        <f t="shared" ref="K181:S181" si="31">IF(ROUND(K$300-SUM(K$163:K$166,K$217)+SUM(K$167,K$169,K$239,K$245,K$251,K$257,K$21,K$22)-SUM(K$284,K$294)-K$180,3)=0,"OK","ERROR")</f>
        <v>OK</v>
      </c>
      <c r="L181" s="7" t="str">
        <f t="shared" si="31"/>
        <v>OK</v>
      </c>
      <c r="M181" s="7" t="str">
        <f t="shared" si="31"/>
        <v>OK</v>
      </c>
      <c r="N181" s="7" t="str">
        <f t="shared" si="31"/>
        <v>OK</v>
      </c>
      <c r="O181" s="7" t="str">
        <f t="shared" si="31"/>
        <v>OK</v>
      </c>
      <c r="P181" s="7" t="str">
        <f t="shared" si="31"/>
        <v>OK</v>
      </c>
      <c r="Q181" s="7" t="str">
        <f t="shared" si="31"/>
        <v>OK</v>
      </c>
      <c r="R181" s="7" t="str">
        <f t="shared" si="31"/>
        <v>OK</v>
      </c>
      <c r="S181" s="7" t="str">
        <f t="shared" si="31"/>
        <v>OK</v>
      </c>
    </row>
    <row r="182" spans="1:19" x14ac:dyDescent="0.2">
      <c r="A182" s="3" t="s">
        <v>599</v>
      </c>
      <c r="F182" s="21">
        <v>1.1180000000000001</v>
      </c>
      <c r="G182" s="21">
        <v>0.872</v>
      </c>
      <c r="H182" s="21">
        <v>3.375</v>
      </c>
      <c r="I182" s="21">
        <v>4.9729999999999999</v>
      </c>
      <c r="J182" s="21">
        <v>6.0869999999999997</v>
      </c>
      <c r="K182" s="21">
        <v>6.7560000000000002</v>
      </c>
      <c r="L182" s="21">
        <v>11.047000000000001</v>
      </c>
      <c r="M182" s="21">
        <v>8.2270000000000003</v>
      </c>
      <c r="N182" s="21">
        <v>9.032</v>
      </c>
      <c r="O182" s="24">
        <v>10.529</v>
      </c>
      <c r="P182" s="24">
        <v>10.637</v>
      </c>
      <c r="Q182" s="24">
        <v>11.273</v>
      </c>
      <c r="R182" s="24">
        <v>11.945</v>
      </c>
      <c r="S182" s="24">
        <v>12.659000000000001</v>
      </c>
    </row>
    <row r="183" spans="1:19" x14ac:dyDescent="0.2">
      <c r="A183" s="3" t="s">
        <v>601</v>
      </c>
      <c r="F183" s="21">
        <v>7.59</v>
      </c>
      <c r="G183" s="21">
        <v>9.0310000000000006</v>
      </c>
      <c r="H183" s="21">
        <v>10.243</v>
      </c>
      <c r="I183" s="21">
        <v>8.7759999999999998</v>
      </c>
      <c r="J183" s="21">
        <v>11.375999999999999</v>
      </c>
      <c r="K183" s="21">
        <v>10.974</v>
      </c>
      <c r="L183" s="21">
        <v>11.923999999999999</v>
      </c>
      <c r="M183" s="21">
        <f>13.139-0.66</f>
        <v>12.478999999999999</v>
      </c>
      <c r="N183" s="21">
        <v>12.170999999999999</v>
      </c>
      <c r="O183" s="24">
        <v>12.821999999999999</v>
      </c>
      <c r="P183" s="24">
        <v>12.602</v>
      </c>
      <c r="Q183" s="24">
        <v>13.191000000000001</v>
      </c>
      <c r="R183" s="24">
        <v>13.849</v>
      </c>
      <c r="S183" s="24">
        <v>14.420999999999999</v>
      </c>
    </row>
    <row r="184" spans="1:19" x14ac:dyDescent="0.2">
      <c r="A184" s="3" t="s">
        <v>622</v>
      </c>
      <c r="F184" s="21">
        <v>26.291</v>
      </c>
      <c r="G184" s="21">
        <v>32.108999999999995</v>
      </c>
      <c r="H184" s="21">
        <v>36.088999999999999</v>
      </c>
      <c r="I184" s="21">
        <v>35.376999999999995</v>
      </c>
      <c r="J184" s="21">
        <v>39.686</v>
      </c>
      <c r="K184" s="21">
        <v>37.33</v>
      </c>
      <c r="L184" s="21">
        <v>31.056000000000001</v>
      </c>
      <c r="M184" s="21">
        <v>34.177999999999997</v>
      </c>
      <c r="N184" s="21">
        <v>37.090000000000003</v>
      </c>
      <c r="O184" s="24">
        <v>32.936</v>
      </c>
      <c r="P184" s="24">
        <v>37.113</v>
      </c>
      <c r="Q184" s="24">
        <v>32.033999999999999</v>
      </c>
      <c r="R184" s="24">
        <v>30.03</v>
      </c>
      <c r="S184" s="24">
        <v>33.631</v>
      </c>
    </row>
    <row r="185" spans="1:19" x14ac:dyDescent="0.2">
      <c r="A185" s="3" t="s">
        <v>654</v>
      </c>
      <c r="F185" s="21">
        <v>9.8810000000000002</v>
      </c>
      <c r="G185" s="21">
        <v>10.79</v>
      </c>
      <c r="H185" s="21">
        <v>12.042</v>
      </c>
      <c r="I185" s="21">
        <v>14.090999999999999</v>
      </c>
      <c r="J185" s="21">
        <v>16.939</v>
      </c>
      <c r="K185" s="21">
        <v>18.713000000000001</v>
      </c>
      <c r="L185" s="21">
        <v>20.25</v>
      </c>
      <c r="M185" s="21">
        <v>23.5</v>
      </c>
      <c r="N185" s="21">
        <v>25.789000000000001</v>
      </c>
      <c r="O185" s="24">
        <v>24.937000000000001</v>
      </c>
      <c r="P185" s="24">
        <v>25.12</v>
      </c>
      <c r="Q185" s="24">
        <v>26.029</v>
      </c>
      <c r="R185" s="24">
        <v>26.98</v>
      </c>
      <c r="S185" s="24">
        <v>27.934000000000001</v>
      </c>
    </row>
    <row r="186" spans="1:19" x14ac:dyDescent="0.2">
      <c r="A186" s="3" t="s">
        <v>655</v>
      </c>
      <c r="F186" s="21">
        <v>2.15</v>
      </c>
      <c r="G186" s="21">
        <v>3.0289999999999999</v>
      </c>
      <c r="H186" s="21">
        <v>3.444</v>
      </c>
      <c r="I186" s="21">
        <v>2.5659999999999998</v>
      </c>
      <c r="J186" s="21">
        <v>2.6509999999999998</v>
      </c>
      <c r="K186" s="21">
        <v>2.6070000000000002</v>
      </c>
      <c r="L186" s="21">
        <v>2.5859999999999999</v>
      </c>
      <c r="M186" s="21">
        <v>2.472</v>
      </c>
      <c r="N186" s="21">
        <v>3.8119999999999998</v>
      </c>
      <c r="O186" s="24">
        <v>3.7519999999999998</v>
      </c>
      <c r="P186" s="24">
        <v>3.8450000000000002</v>
      </c>
      <c r="Q186" s="24">
        <v>3.9889999999999999</v>
      </c>
      <c r="R186" s="24">
        <v>4.133</v>
      </c>
      <c r="S186" s="24">
        <v>4.3259999999999996</v>
      </c>
    </row>
    <row r="187" spans="1:19" x14ac:dyDescent="0.2">
      <c r="A187" s="3" t="s">
        <v>623</v>
      </c>
      <c r="F187" s="21">
        <v>7.7549999999999999</v>
      </c>
      <c r="G187" s="21">
        <v>7.34</v>
      </c>
      <c r="H187" s="21">
        <v>5.4770000000000003</v>
      </c>
      <c r="I187" s="21">
        <v>5.7679999999999998</v>
      </c>
      <c r="J187" s="21">
        <v>6.8789999999999996</v>
      </c>
      <c r="K187" s="21">
        <v>6.3410000000000002</v>
      </c>
      <c r="L187" s="21">
        <v>7.665</v>
      </c>
      <c r="M187" s="21">
        <v>11.579000000000001</v>
      </c>
      <c r="N187" s="21">
        <v>15.353999999999999</v>
      </c>
      <c r="O187" s="24">
        <v>15.811</v>
      </c>
      <c r="P187" s="24">
        <v>16.771000000000001</v>
      </c>
      <c r="Q187" s="24">
        <v>17.806000000000001</v>
      </c>
      <c r="R187" s="24">
        <v>18.934000000000001</v>
      </c>
      <c r="S187" s="24">
        <v>20.146000000000001</v>
      </c>
    </row>
    <row r="188" spans="1:19" x14ac:dyDescent="0.2">
      <c r="A188" s="3" t="s">
        <v>656</v>
      </c>
      <c r="F188" s="21">
        <v>5.7839999999999998</v>
      </c>
      <c r="G188" s="21">
        <v>5.5830000000000002</v>
      </c>
      <c r="H188" s="21">
        <v>5.6509999999999998</v>
      </c>
      <c r="I188" s="21">
        <v>6.3920000000000003</v>
      </c>
      <c r="J188" s="21">
        <v>7.1980000000000004</v>
      </c>
      <c r="K188" s="21">
        <v>7.806</v>
      </c>
      <c r="L188" s="21">
        <v>9.4960000000000004</v>
      </c>
      <c r="M188" s="21">
        <v>8.8960000000000008</v>
      </c>
      <c r="N188" s="21">
        <v>10.454000000000001</v>
      </c>
      <c r="O188" s="24">
        <v>10.894</v>
      </c>
      <c r="P188" s="24">
        <v>11.236000000000001</v>
      </c>
      <c r="Q188" s="24">
        <v>11.627000000000001</v>
      </c>
      <c r="R188" s="24">
        <v>12.065</v>
      </c>
      <c r="S188" s="24">
        <v>12.518000000000001</v>
      </c>
    </row>
    <row r="189" spans="1:19" x14ac:dyDescent="0.2">
      <c r="A189" s="3" t="s">
        <v>657</v>
      </c>
      <c r="F189" s="21">
        <v>8.5000000000000006E-2</v>
      </c>
      <c r="G189" s="21">
        <v>6.3E-2</v>
      </c>
      <c r="H189" s="21">
        <v>6.0999999999999999E-2</v>
      </c>
      <c r="I189" s="21">
        <v>0.06</v>
      </c>
      <c r="J189" s="21">
        <v>0.20699999999999999</v>
      </c>
      <c r="K189" s="21">
        <v>0.26400000000000001</v>
      </c>
      <c r="L189" s="21">
        <v>0.34200000000000003</v>
      </c>
      <c r="M189" s="21">
        <v>0.48299999999999998</v>
      </c>
      <c r="N189" s="21">
        <v>5.8000000000000003E-2</v>
      </c>
      <c r="O189" s="24">
        <v>5.6000000000000001E-2</v>
      </c>
      <c r="P189" s="24">
        <v>6.0999999999999999E-2</v>
      </c>
      <c r="Q189" s="24">
        <v>6.7000000000000004E-2</v>
      </c>
      <c r="R189" s="24">
        <v>6.7000000000000004E-2</v>
      </c>
      <c r="S189" s="24">
        <v>6.7000000000000004E-2</v>
      </c>
    </row>
    <row r="190" spans="1:19" x14ac:dyDescent="0.2">
      <c r="A190" s="3" t="s">
        <v>624</v>
      </c>
      <c r="F190" s="21">
        <v>9.0869999999999997</v>
      </c>
      <c r="G190" s="21">
        <v>10.278</v>
      </c>
      <c r="H190" s="21">
        <v>10.429</v>
      </c>
      <c r="I190" s="21">
        <v>11.087999999999999</v>
      </c>
      <c r="J190" s="21">
        <v>12.446999999999999</v>
      </c>
      <c r="K190" s="21">
        <v>13.58</v>
      </c>
      <c r="L190" s="21">
        <v>13.419</v>
      </c>
      <c r="M190" s="21">
        <v>14.28</v>
      </c>
      <c r="N190" s="21">
        <v>15.108000000000001</v>
      </c>
      <c r="O190" s="24">
        <v>15.938000000000001</v>
      </c>
      <c r="P190" s="24">
        <v>16.317</v>
      </c>
      <c r="Q190" s="24">
        <v>16.61</v>
      </c>
      <c r="R190" s="24">
        <v>16.834</v>
      </c>
      <c r="S190" s="24">
        <v>16.879000000000001</v>
      </c>
    </row>
    <row r="191" spans="1:19" x14ac:dyDescent="0.2">
      <c r="A191" s="3" t="s">
        <v>695</v>
      </c>
      <c r="F191" s="21">
        <v>25.048999999999999</v>
      </c>
      <c r="G191" s="21">
        <v>25.696000000000002</v>
      </c>
      <c r="H191" s="21">
        <v>27.536000000000001</v>
      </c>
      <c r="I191" s="21">
        <v>28.663</v>
      </c>
      <c r="J191" s="21">
        <v>30.093</v>
      </c>
      <c r="K191" s="21">
        <v>31.308</v>
      </c>
      <c r="L191" s="21">
        <v>32.610999999999997</v>
      </c>
      <c r="M191" s="21">
        <v>32.542999999999999</v>
      </c>
      <c r="N191" s="21">
        <v>34.883000000000003</v>
      </c>
      <c r="O191" s="24">
        <v>36.600999999999999</v>
      </c>
      <c r="P191" s="24">
        <v>38.200000000000003</v>
      </c>
      <c r="Q191" s="24">
        <v>39.573999999999998</v>
      </c>
      <c r="R191" s="24">
        <v>41.042000000000002</v>
      </c>
      <c r="S191" s="24">
        <v>42.487000000000002</v>
      </c>
    </row>
    <row r="192" spans="1:19" x14ac:dyDescent="0.2">
      <c r="A192" s="3" t="s">
        <v>696</v>
      </c>
      <c r="F192" s="21">
        <f>0.347+0.96</f>
        <v>1.3069999999999999</v>
      </c>
      <c r="G192" s="21">
        <f>0.392+0.982</f>
        <v>1.3740000000000001</v>
      </c>
      <c r="H192" s="21">
        <f>0.431+0.998+0.001</f>
        <v>1.43</v>
      </c>
      <c r="I192" s="21">
        <f>0.422+1.041-0.001</f>
        <v>1.462</v>
      </c>
      <c r="J192" s="21">
        <f>0.45+1.241</f>
        <v>1.6910000000000001</v>
      </c>
      <c r="K192" s="21">
        <f>0.399+1.233-0.001</f>
        <v>1.6310000000000002</v>
      </c>
      <c r="L192" s="21">
        <f>0.382+1.222+0.001</f>
        <v>1.605</v>
      </c>
      <c r="M192" s="21">
        <v>1.633</v>
      </c>
      <c r="N192" s="21">
        <v>1.5469999999999999</v>
      </c>
      <c r="O192" s="24">
        <v>1.5329999999999999</v>
      </c>
      <c r="P192" s="24">
        <v>1.5329999999999999</v>
      </c>
      <c r="Q192" s="24">
        <v>1.579</v>
      </c>
      <c r="R192" s="24">
        <v>1.6120000000000001</v>
      </c>
      <c r="S192" s="24">
        <v>1.645</v>
      </c>
    </row>
    <row r="193" spans="1:19" x14ac:dyDescent="0.2">
      <c r="A193" s="3" t="s">
        <v>697</v>
      </c>
      <c r="F193" s="21">
        <v>35.884999999999998</v>
      </c>
      <c r="G193" s="21">
        <v>37.167000000000002</v>
      </c>
      <c r="H193" s="21">
        <v>49.889000000000003</v>
      </c>
      <c r="I193" s="21">
        <v>57.582999999999998</v>
      </c>
      <c r="J193" s="21">
        <v>76.826999999999998</v>
      </c>
      <c r="K193" s="21">
        <v>84.51</v>
      </c>
      <c r="L193" s="21">
        <v>84.87</v>
      </c>
      <c r="M193" s="21">
        <v>89.09</v>
      </c>
      <c r="N193" s="21">
        <v>95.549000000000007</v>
      </c>
      <c r="O193" s="24">
        <v>98.090999999999994</v>
      </c>
      <c r="P193" s="24">
        <v>106.693</v>
      </c>
      <c r="Q193" s="24">
        <v>103.944</v>
      </c>
      <c r="R193" s="24">
        <v>100.923</v>
      </c>
      <c r="S193" s="24">
        <v>102.364</v>
      </c>
    </row>
    <row r="194" spans="1:19" x14ac:dyDescent="0.2">
      <c r="A194" s="3" t="s">
        <v>698</v>
      </c>
      <c r="F194" s="21">
        <v>4.43</v>
      </c>
      <c r="G194" s="21">
        <v>4.7050000000000001</v>
      </c>
      <c r="H194" s="21">
        <v>4.9390000000000001</v>
      </c>
      <c r="I194" s="21">
        <v>4.835</v>
      </c>
      <c r="J194" s="21">
        <v>5.1230000000000002</v>
      </c>
      <c r="K194" s="21">
        <v>5.3250000000000002</v>
      </c>
      <c r="L194" s="21">
        <v>5.2510000000000003</v>
      </c>
      <c r="M194" s="21">
        <v>5.1550000000000002</v>
      </c>
      <c r="N194" s="21">
        <v>5.64</v>
      </c>
      <c r="O194" s="24">
        <v>6.117</v>
      </c>
      <c r="P194" s="24">
        <v>6.4089999999999998</v>
      </c>
      <c r="Q194" s="24">
        <v>6.7450000000000001</v>
      </c>
      <c r="R194" s="24">
        <v>7.008</v>
      </c>
      <c r="S194" s="24">
        <v>7.0910000000000002</v>
      </c>
    </row>
    <row r="195" spans="1:19" x14ac:dyDescent="0.2">
      <c r="A195" s="3" t="s">
        <v>699</v>
      </c>
      <c r="F195" s="21">
        <v>10.292999999999999</v>
      </c>
      <c r="G195" s="21">
        <v>12.817</v>
      </c>
      <c r="H195" s="21">
        <v>16.963000000000001</v>
      </c>
      <c r="I195" s="21">
        <v>19.747</v>
      </c>
      <c r="J195" s="21">
        <v>23.099</v>
      </c>
      <c r="K195" s="21">
        <v>25.373999999999999</v>
      </c>
      <c r="L195" s="21">
        <v>24.838999999999999</v>
      </c>
      <c r="M195" s="21">
        <v>26.184999999999999</v>
      </c>
      <c r="N195" s="21">
        <v>28.437000000000001</v>
      </c>
      <c r="O195" s="24">
        <v>29.879000000000001</v>
      </c>
      <c r="P195" s="24">
        <v>31.062000000000001</v>
      </c>
      <c r="Q195" s="24">
        <v>32.406999999999996</v>
      </c>
      <c r="R195" s="24">
        <v>33.920999999999999</v>
      </c>
      <c r="S195" s="24">
        <v>35.241999999999997</v>
      </c>
    </row>
    <row r="196" spans="1:19" x14ac:dyDescent="0.2">
      <c r="A196" s="3" t="s">
        <v>700</v>
      </c>
      <c r="F196" s="21">
        <v>6.0999999999999999E-2</v>
      </c>
      <c r="G196" s="21">
        <v>5.6000000000000001E-2</v>
      </c>
      <c r="H196" s="21">
        <v>0.27500000000000002</v>
      </c>
      <c r="I196" s="21">
        <v>0.45500000000000002</v>
      </c>
      <c r="J196" s="21">
        <v>0.437</v>
      </c>
      <c r="K196" s="21">
        <v>0.41599999999999998</v>
      </c>
      <c r="L196" s="21">
        <f>0.346+0.053</f>
        <v>0.39899999999999997</v>
      </c>
      <c r="M196" s="21">
        <f>0.564-0.001</f>
        <v>0.56299999999999994</v>
      </c>
      <c r="N196" s="21">
        <f>0.574-0.001</f>
        <v>0.57299999999999995</v>
      </c>
      <c r="O196" s="24">
        <v>0.53100000000000003</v>
      </c>
      <c r="P196" s="24">
        <v>0.5</v>
      </c>
      <c r="Q196" s="24">
        <v>0.47399999999999998</v>
      </c>
      <c r="R196" s="24">
        <v>0.44600000000000001</v>
      </c>
      <c r="S196" s="24">
        <v>0.41899999999999998</v>
      </c>
    </row>
    <row r="197" spans="1:19" x14ac:dyDescent="0.2">
      <c r="A197" s="3" t="s">
        <v>701</v>
      </c>
      <c r="F197" s="21">
        <v>3.0000000000000001E-3</v>
      </c>
      <c r="G197" s="21">
        <v>3.0000000000000001E-3</v>
      </c>
      <c r="H197" s="21">
        <v>5.0000000000000001E-3</v>
      </c>
      <c r="I197" s="21">
        <v>6.0000000000000001E-3</v>
      </c>
      <c r="J197" s="21">
        <v>1.4E-2</v>
      </c>
      <c r="K197" s="21">
        <v>3.0000000000000001E-3</v>
      </c>
      <c r="L197" s="21">
        <v>2.1999999999999999E-2</v>
      </c>
      <c r="M197" s="21">
        <v>1.7999999999999999E-2</v>
      </c>
      <c r="N197" s="21">
        <v>2.3E-2</v>
      </c>
      <c r="O197" s="24">
        <v>1.9E-2</v>
      </c>
      <c r="P197" s="24">
        <v>1.9E-2</v>
      </c>
      <c r="Q197" s="24">
        <v>1.9E-2</v>
      </c>
      <c r="R197" s="24">
        <v>1.9E-2</v>
      </c>
      <c r="S197" s="24">
        <v>1.9E-2</v>
      </c>
    </row>
    <row r="198" spans="1:19" x14ac:dyDescent="0.2">
      <c r="A198" s="3" t="s">
        <v>702</v>
      </c>
      <c r="F198" s="21">
        <v>7.1589999999999998</v>
      </c>
      <c r="G198" s="21">
        <v>8.2550000000000008</v>
      </c>
      <c r="H198" s="21">
        <v>8.9909999999999997</v>
      </c>
      <c r="I198" s="21">
        <v>9.9380000000000006</v>
      </c>
      <c r="J198" s="21">
        <v>10.154</v>
      </c>
      <c r="K198" s="21">
        <v>13.548</v>
      </c>
      <c r="L198" s="21">
        <v>11.914999999999999</v>
      </c>
      <c r="M198" s="21">
        <v>10.888999999999999</v>
      </c>
      <c r="N198" s="21">
        <v>10.843999999999999</v>
      </c>
      <c r="O198" s="24">
        <v>10.750999999999999</v>
      </c>
      <c r="P198" s="24">
        <v>10.244999999999999</v>
      </c>
      <c r="Q198" s="24">
        <v>9.7370000000000001</v>
      </c>
      <c r="R198" s="24">
        <v>9.2349999999999994</v>
      </c>
      <c r="S198" s="24">
        <v>8.7420000000000009</v>
      </c>
    </row>
    <row r="199" spans="1:19" x14ac:dyDescent="0.2">
      <c r="A199" s="2" t="s">
        <v>704</v>
      </c>
      <c r="F199" s="23">
        <v>50.792999999999999</v>
      </c>
      <c r="G199" s="23">
        <v>56.982999999999997</v>
      </c>
      <c r="H199" s="23">
        <v>53.07</v>
      </c>
      <c r="I199" s="23">
        <v>44.668999999999997</v>
      </c>
      <c r="J199" s="23">
        <v>34.930999999999997</v>
      </c>
      <c r="K199" s="23">
        <v>23.370999999999999</v>
      </c>
      <c r="L199" s="23">
        <v>25.613</v>
      </c>
      <c r="M199" s="23">
        <v>28.675999999999998</v>
      </c>
      <c r="N199" s="23">
        <v>33.402000000000001</v>
      </c>
      <c r="O199" s="25">
        <v>33.283000000000001</v>
      </c>
      <c r="P199" s="25">
        <v>35.603000000000002</v>
      </c>
      <c r="Q199" s="25">
        <v>38.613</v>
      </c>
      <c r="R199" s="25">
        <v>44.283999999999999</v>
      </c>
      <c r="S199" s="25">
        <v>51.564999999999998</v>
      </c>
    </row>
    <row r="200" spans="1:19" x14ac:dyDescent="0.2">
      <c r="A200" s="2" t="s">
        <v>705</v>
      </c>
      <c r="F200" s="7" t="str">
        <f t="shared" ref="F200:S200" si="32">IF(ROUND(F$199-SUM(F$182:F$184,F$187,F$190:F$192,F$343,F$362,F$123:F$124)+SUM(F$126,F$383,F$410,F$193,F$196:F$198),3)=0,"OK","ERROR")</f>
        <v>OK</v>
      </c>
      <c r="G200" s="7" t="str">
        <f t="shared" si="32"/>
        <v>OK</v>
      </c>
      <c r="H200" s="7" t="str">
        <f t="shared" si="32"/>
        <v>OK</v>
      </c>
      <c r="I200" s="7" t="str">
        <f t="shared" si="32"/>
        <v>OK</v>
      </c>
      <c r="J200" s="7" t="str">
        <f t="shared" si="32"/>
        <v>OK</v>
      </c>
      <c r="K200" s="7" t="str">
        <f t="shared" si="32"/>
        <v>OK</v>
      </c>
      <c r="L200" s="7" t="str">
        <f t="shared" si="32"/>
        <v>OK</v>
      </c>
      <c r="M200" s="7" t="str">
        <f t="shared" si="32"/>
        <v>OK</v>
      </c>
      <c r="N200" s="7" t="str">
        <f t="shared" si="32"/>
        <v>OK</v>
      </c>
      <c r="O200" s="7" t="str">
        <f t="shared" si="32"/>
        <v>OK</v>
      </c>
      <c r="P200" s="7" t="str">
        <f t="shared" si="32"/>
        <v>OK</v>
      </c>
      <c r="Q200" s="7" t="str">
        <f t="shared" si="32"/>
        <v>OK</v>
      </c>
      <c r="R200" s="7" t="str">
        <f t="shared" si="32"/>
        <v>OK</v>
      </c>
      <c r="S200" s="7" t="str">
        <f t="shared" si="32"/>
        <v>OK</v>
      </c>
    </row>
    <row r="201" spans="1:19" x14ac:dyDescent="0.2">
      <c r="A201" s="2"/>
      <c r="F201" s="13">
        <f>F153-SUM(F182,F184,F187,F190)</f>
        <v>2.099999999999369E-2</v>
      </c>
      <c r="G201" s="13">
        <f t="shared" ref="G201:S201" si="33">G153-SUM(G182,G184,G187,G190)</f>
        <v>9.9000000000003752E-2</v>
      </c>
      <c r="H201" s="13">
        <f t="shared" si="33"/>
        <v>0.3989999999999938</v>
      </c>
      <c r="I201" s="13">
        <f t="shared" si="33"/>
        <v>3.0000000000072191E-3</v>
      </c>
      <c r="J201" s="13">
        <f t="shared" si="33"/>
        <v>0.30100000000001614</v>
      </c>
      <c r="K201" s="13">
        <f t="shared" si="33"/>
        <v>9.9999999999909051E-3</v>
      </c>
      <c r="L201" s="13">
        <f t="shared" si="33"/>
        <v>-0.20299999999999585</v>
      </c>
      <c r="M201" s="13">
        <f t="shared" si="33"/>
        <v>-0.21699999999999875</v>
      </c>
      <c r="N201" s="13">
        <f t="shared" si="33"/>
        <v>-0.15000000000000568</v>
      </c>
      <c r="O201" s="13">
        <f t="shared" si="33"/>
        <v>-1.0000000000047748E-3</v>
      </c>
      <c r="P201" s="13">
        <f t="shared" si="33"/>
        <v>2.0000000000095497E-3</v>
      </c>
      <c r="Q201" s="13">
        <f t="shared" si="33"/>
        <v>0</v>
      </c>
      <c r="R201" s="13">
        <f t="shared" si="33"/>
        <v>-2.0000000000095497E-3</v>
      </c>
      <c r="S201" s="13">
        <f t="shared" si="33"/>
        <v>0</v>
      </c>
    </row>
    <row r="202" spans="1:19" x14ac:dyDescent="0.2">
      <c r="A202" s="31" t="s">
        <v>357</v>
      </c>
    </row>
    <row r="203" spans="1:19" x14ac:dyDescent="0.2">
      <c r="A203" s="2" t="s">
        <v>358</v>
      </c>
    </row>
    <row r="204" spans="1:19" x14ac:dyDescent="0.2">
      <c r="A204" s="3" t="s">
        <v>359</v>
      </c>
      <c r="F204" s="21">
        <v>20.98</v>
      </c>
      <c r="G204" s="21">
        <v>23.344999999999999</v>
      </c>
      <c r="H204" s="21">
        <v>22.587</v>
      </c>
      <c r="I204" s="21">
        <v>21.774000000000001</v>
      </c>
      <c r="J204" s="21">
        <v>20.856999999999999</v>
      </c>
      <c r="K204" s="21">
        <v>21.236999999999998</v>
      </c>
      <c r="L204" s="21">
        <v>22.33</v>
      </c>
      <c r="M204" s="21">
        <v>23.738</v>
      </c>
      <c r="N204" s="21">
        <v>25.309000000000001</v>
      </c>
      <c r="O204" s="24">
        <v>26.332999999999998</v>
      </c>
      <c r="P204" s="24">
        <v>27.35</v>
      </c>
      <c r="Q204" s="24">
        <v>28.616</v>
      </c>
      <c r="R204" s="24">
        <v>30.265000000000001</v>
      </c>
      <c r="S204" s="24">
        <v>31.989000000000001</v>
      </c>
    </row>
    <row r="205" spans="1:19" x14ac:dyDescent="0.2">
      <c r="A205" s="3" t="s">
        <v>379</v>
      </c>
      <c r="F205" s="21">
        <v>9.891</v>
      </c>
      <c r="G205" s="21">
        <v>10.122</v>
      </c>
      <c r="H205" s="21">
        <v>9.2759999999999998</v>
      </c>
      <c r="I205" s="21">
        <v>7.2</v>
      </c>
      <c r="J205" s="21">
        <v>6.9569999999999999</v>
      </c>
      <c r="K205" s="21">
        <v>8.6120000000000001</v>
      </c>
      <c r="L205" s="21">
        <v>9.0180000000000007</v>
      </c>
      <c r="M205" s="21">
        <v>9.2639999999999993</v>
      </c>
      <c r="N205" s="21">
        <v>10.295999999999999</v>
      </c>
      <c r="O205" s="24">
        <v>10.192</v>
      </c>
      <c r="P205" s="24">
        <v>10.62</v>
      </c>
      <c r="Q205" s="24">
        <v>11.680999999999999</v>
      </c>
      <c r="R205" s="24">
        <v>12.59</v>
      </c>
      <c r="S205" s="24">
        <v>13.087</v>
      </c>
    </row>
    <row r="206" spans="1:19" x14ac:dyDescent="0.2">
      <c r="A206" s="3" t="s">
        <v>384</v>
      </c>
      <c r="F206" s="21">
        <v>11.215</v>
      </c>
      <c r="G206" s="21">
        <v>11.115</v>
      </c>
      <c r="H206" s="21">
        <v>11.551</v>
      </c>
      <c r="I206" s="21">
        <v>11.917</v>
      </c>
      <c r="J206" s="21">
        <v>13.708</v>
      </c>
      <c r="K206" s="21">
        <v>14.571999999999999</v>
      </c>
      <c r="L206" s="21">
        <v>15.205</v>
      </c>
      <c r="M206" s="21">
        <v>16.016999999999999</v>
      </c>
      <c r="N206" s="21">
        <v>17.169</v>
      </c>
      <c r="O206" s="24">
        <v>18.015999999999998</v>
      </c>
      <c r="P206" s="24">
        <v>18.884</v>
      </c>
      <c r="Q206" s="24">
        <v>19.824000000000002</v>
      </c>
      <c r="R206" s="24">
        <v>20.908999999999999</v>
      </c>
      <c r="S206" s="24">
        <v>21.798999999999999</v>
      </c>
    </row>
    <row r="207" spans="1:19" x14ac:dyDescent="0.2">
      <c r="A207" s="3" t="s">
        <v>386</v>
      </c>
      <c r="F207" s="21">
        <v>2.3879999999999999</v>
      </c>
      <c r="G207" s="21">
        <v>2.4239999999999999</v>
      </c>
      <c r="H207" s="21">
        <v>2.3339999999999996</v>
      </c>
      <c r="I207" s="21">
        <v>2.508</v>
      </c>
      <c r="J207" s="21">
        <v>2.6349999999999998</v>
      </c>
      <c r="K207" s="21">
        <v>2.6980000000000004</v>
      </c>
      <c r="L207" s="21">
        <v>2.7689999999999997</v>
      </c>
      <c r="M207" s="21">
        <v>3.004</v>
      </c>
      <c r="N207" s="21">
        <v>3.2029999999999998</v>
      </c>
      <c r="O207" s="24">
        <v>3.3420000000000001</v>
      </c>
      <c r="P207" s="24">
        <v>3.4289999999999998</v>
      </c>
      <c r="Q207" s="24">
        <v>3.552</v>
      </c>
      <c r="R207" s="24">
        <v>3.6749999999999998</v>
      </c>
      <c r="S207" s="24">
        <v>3.79</v>
      </c>
    </row>
    <row r="208" spans="1:19" x14ac:dyDescent="0.2">
      <c r="A208" s="3" t="s">
        <v>391</v>
      </c>
      <c r="F208" s="21">
        <v>8.59</v>
      </c>
      <c r="G208" s="21">
        <v>9.3659999999999997</v>
      </c>
      <c r="H208" s="21">
        <v>8.3970000000000002</v>
      </c>
      <c r="I208" s="21">
        <v>6.9480000000000004</v>
      </c>
      <c r="J208" s="21">
        <v>6.9710000000000001</v>
      </c>
      <c r="K208" s="21">
        <v>7.5460000000000003</v>
      </c>
      <c r="L208" s="21">
        <v>8.8119999999999994</v>
      </c>
      <c r="M208" s="21">
        <v>8.9450000000000003</v>
      </c>
      <c r="N208" s="21">
        <v>10.078000000000001</v>
      </c>
      <c r="O208" s="24">
        <v>9.7649999999999988</v>
      </c>
      <c r="P208" s="24">
        <v>9.9429999999999996</v>
      </c>
      <c r="Q208" s="24">
        <v>10.678000000000001</v>
      </c>
      <c r="R208" s="24">
        <v>11.695</v>
      </c>
      <c r="S208" s="24">
        <v>12.475999999999999</v>
      </c>
    </row>
    <row r="209" spans="1:19" x14ac:dyDescent="0.2">
      <c r="A209" s="2" t="s">
        <v>574</v>
      </c>
      <c r="F209" s="7" t="str">
        <f t="shared" ref="F209:S209" si="34">IF(ROUND(F$9-SUM(F$204:F$208),3)=0,"OK","ERROR")</f>
        <v>OK</v>
      </c>
      <c r="G209" s="7" t="str">
        <f t="shared" si="34"/>
        <v>OK</v>
      </c>
      <c r="H209" s="7" t="str">
        <f t="shared" si="34"/>
        <v>OK</v>
      </c>
      <c r="I209" s="7" t="str">
        <f t="shared" si="34"/>
        <v>OK</v>
      </c>
      <c r="J209" s="7" t="str">
        <f t="shared" si="34"/>
        <v>OK</v>
      </c>
      <c r="K209" s="7" t="str">
        <f t="shared" si="34"/>
        <v>OK</v>
      </c>
      <c r="L209" s="7" t="str">
        <f t="shared" si="34"/>
        <v>OK</v>
      </c>
      <c r="M209" s="7" t="str">
        <f t="shared" si="34"/>
        <v>OK</v>
      </c>
      <c r="N209" s="7" t="str">
        <f t="shared" si="34"/>
        <v>OK</v>
      </c>
      <c r="O209" s="7" t="str">
        <f t="shared" si="34"/>
        <v>OK</v>
      </c>
      <c r="P209" s="7" t="str">
        <f t="shared" si="34"/>
        <v>OK</v>
      </c>
      <c r="Q209" s="7" t="str">
        <f t="shared" si="34"/>
        <v>OK</v>
      </c>
      <c r="R209" s="7" t="str">
        <f t="shared" si="34"/>
        <v>OK</v>
      </c>
      <c r="S209" s="7" t="str">
        <f t="shared" si="34"/>
        <v>OK</v>
      </c>
    </row>
    <row r="210" spans="1:19" x14ac:dyDescent="0.2">
      <c r="A210" s="2" t="s">
        <v>398</v>
      </c>
    </row>
    <row r="211" spans="1:19" x14ac:dyDescent="0.2">
      <c r="A211" s="3" t="s">
        <v>401</v>
      </c>
      <c r="F211" s="21">
        <v>2.468</v>
      </c>
      <c r="G211" s="21">
        <v>2.718</v>
      </c>
      <c r="H211" s="21">
        <v>2.88</v>
      </c>
      <c r="I211" s="21">
        <v>3.2610000000000001</v>
      </c>
      <c r="J211" s="21">
        <v>3.5859999999999999</v>
      </c>
      <c r="K211" s="21">
        <v>3.6949999999999998</v>
      </c>
      <c r="L211" s="21">
        <v>3.4369999999999998</v>
      </c>
      <c r="M211" s="21">
        <v>3.6</v>
      </c>
      <c r="N211" s="21">
        <v>3.2759999999999998</v>
      </c>
      <c r="O211" s="24">
        <v>2.7389999999999999</v>
      </c>
      <c r="P211" s="24">
        <v>2.6709999999999998</v>
      </c>
      <c r="Q211" s="24">
        <v>2.7789999999999999</v>
      </c>
      <c r="R211" s="24">
        <v>2.9289999999999998</v>
      </c>
      <c r="S211" s="24">
        <v>3.0619999999999998</v>
      </c>
    </row>
    <row r="212" spans="1:19" x14ac:dyDescent="0.2">
      <c r="A212" s="3" t="s">
        <v>402</v>
      </c>
      <c r="F212" s="21">
        <v>8.4000000000000005E-2</v>
      </c>
      <c r="G212" s="21">
        <v>8.5999999999999993E-2</v>
      </c>
      <c r="H212" s="21">
        <v>8.5999999999999993E-2</v>
      </c>
      <c r="I212" s="21">
        <v>8.5999999999999993E-2</v>
      </c>
      <c r="J212" s="21">
        <v>8.7999999999999995E-2</v>
      </c>
      <c r="K212" s="21">
        <v>0.107</v>
      </c>
      <c r="L212" s="21">
        <v>0.24199999999999999</v>
      </c>
      <c r="M212" s="21">
        <v>0.27400000000000002</v>
      </c>
      <c r="N212" s="21">
        <v>0.28100000000000003</v>
      </c>
      <c r="O212" s="24">
        <v>0.28100000000000003</v>
      </c>
      <c r="P212" s="24">
        <v>0.28299999999999997</v>
      </c>
      <c r="Q212" s="24">
        <v>0.28599999999999998</v>
      </c>
      <c r="R212" s="24">
        <v>0.28899999999999998</v>
      </c>
      <c r="S212" s="24">
        <v>0.28899999999999998</v>
      </c>
    </row>
    <row r="213" spans="1:19" x14ac:dyDescent="0.2">
      <c r="A213" s="3" t="s">
        <v>399</v>
      </c>
      <c r="F213" s="21">
        <v>0.24199999999999999</v>
      </c>
      <c r="G213" s="21">
        <v>0.308</v>
      </c>
      <c r="H213" s="21">
        <v>0.375</v>
      </c>
      <c r="I213" s="21">
        <v>0.57199999999999995</v>
      </c>
      <c r="J213" s="21">
        <v>0.52300000000000002</v>
      </c>
      <c r="K213" s="21">
        <v>0.311</v>
      </c>
      <c r="L213" s="21">
        <v>0.59</v>
      </c>
      <c r="M213" s="21">
        <v>0.28999999999999998</v>
      </c>
      <c r="N213" s="21">
        <v>0.28299999999999997</v>
      </c>
      <c r="O213" s="24">
        <v>0.27800000000000002</v>
      </c>
      <c r="P213" s="24">
        <v>0.28100000000000003</v>
      </c>
      <c r="Q213" s="24">
        <v>0.29299999999999998</v>
      </c>
      <c r="R213" s="24">
        <v>0.30599999999999999</v>
      </c>
      <c r="S213" s="24">
        <v>0.32100000000000001</v>
      </c>
    </row>
    <row r="214" spans="1:19" x14ac:dyDescent="0.2">
      <c r="A214" s="3" t="s">
        <v>400</v>
      </c>
      <c r="F214" s="21">
        <v>0.70200000000000007</v>
      </c>
      <c r="G214" s="21">
        <v>0.76700000000000002</v>
      </c>
      <c r="H214" s="21">
        <v>0.77700000000000002</v>
      </c>
      <c r="I214" s="21">
        <v>0.76300000000000001</v>
      </c>
      <c r="J214" s="21">
        <v>1.0839999999999999</v>
      </c>
      <c r="K214" s="21">
        <v>1.0170000000000001</v>
      </c>
      <c r="L214" s="21">
        <v>0.90300000000000002</v>
      </c>
      <c r="M214" s="21">
        <v>0.97</v>
      </c>
      <c r="N214" s="21">
        <v>1.113</v>
      </c>
      <c r="O214" s="24">
        <v>1.161</v>
      </c>
      <c r="P214" s="24">
        <v>1.1759999999999999</v>
      </c>
      <c r="Q214" s="24">
        <v>1.1879999999999999</v>
      </c>
      <c r="R214" s="24">
        <v>1.1950000000000001</v>
      </c>
      <c r="S214" s="24">
        <v>1.2070000000000001</v>
      </c>
    </row>
    <row r="215" spans="1:19" x14ac:dyDescent="0.2">
      <c r="A215" s="2" t="s">
        <v>575</v>
      </c>
      <c r="F215" s="7" t="str">
        <f t="shared" ref="F215:S215" si="35">IF(ROUND(F$10-SUM(F$211:F$214),3)=0,"OK","ERROR")</f>
        <v>OK</v>
      </c>
      <c r="G215" s="7" t="str">
        <f t="shared" si="35"/>
        <v>OK</v>
      </c>
      <c r="H215" s="7" t="str">
        <f t="shared" si="35"/>
        <v>OK</v>
      </c>
      <c r="I215" s="7" t="str">
        <f t="shared" si="35"/>
        <v>OK</v>
      </c>
      <c r="J215" s="7" t="str">
        <f t="shared" si="35"/>
        <v>OK</v>
      </c>
      <c r="K215" s="7" t="str">
        <f t="shared" si="35"/>
        <v>OK</v>
      </c>
      <c r="L215" s="7" t="str">
        <f t="shared" si="35"/>
        <v>OK</v>
      </c>
      <c r="M215" s="7" t="str">
        <f t="shared" si="35"/>
        <v>OK</v>
      </c>
      <c r="N215" s="7" t="str">
        <f t="shared" si="35"/>
        <v>OK</v>
      </c>
      <c r="O215" s="7" t="str">
        <f t="shared" si="35"/>
        <v>OK</v>
      </c>
      <c r="P215" s="7" t="str">
        <f t="shared" si="35"/>
        <v>OK</v>
      </c>
      <c r="Q215" s="7" t="str">
        <f t="shared" si="35"/>
        <v>OK</v>
      </c>
      <c r="R215" s="7" t="str">
        <f t="shared" si="35"/>
        <v>OK</v>
      </c>
      <c r="S215" s="7" t="str">
        <f t="shared" si="35"/>
        <v>OK</v>
      </c>
    </row>
    <row r="216" spans="1:19" x14ac:dyDescent="0.2">
      <c r="A216" s="2" t="s">
        <v>226</v>
      </c>
    </row>
    <row r="217" spans="1:19" x14ac:dyDescent="0.2">
      <c r="A217" s="3" t="s">
        <v>412</v>
      </c>
      <c r="F217" s="21">
        <v>2.58</v>
      </c>
      <c r="G217" s="21">
        <v>2.3439999999999999</v>
      </c>
      <c r="H217" s="21">
        <v>1.8720000000000001</v>
      </c>
      <c r="I217" s="21">
        <v>2.1349999999999998</v>
      </c>
      <c r="J217" s="21">
        <v>2.169</v>
      </c>
      <c r="K217" s="21">
        <v>1.7949999999999999</v>
      </c>
      <c r="L217" s="21">
        <v>2.1040000000000001</v>
      </c>
      <c r="M217" s="21">
        <v>2.3250000000000002</v>
      </c>
      <c r="N217" s="21">
        <v>2.452</v>
      </c>
      <c r="O217" s="24">
        <v>2.839</v>
      </c>
      <c r="P217" s="24">
        <v>2.915</v>
      </c>
      <c r="Q217" s="24">
        <v>3.1070000000000002</v>
      </c>
      <c r="R217" s="24">
        <v>3.395</v>
      </c>
      <c r="S217" s="24">
        <v>3.5870000000000002</v>
      </c>
    </row>
    <row r="218" spans="1:19" x14ac:dyDescent="0.2">
      <c r="A218" s="3" t="s">
        <v>413</v>
      </c>
      <c r="F218" s="21">
        <v>0.75600000000000001</v>
      </c>
      <c r="G218" s="21">
        <v>1.2330000000000001</v>
      </c>
      <c r="H218" s="21">
        <v>1.248</v>
      </c>
      <c r="I218" s="21">
        <v>1.1459999999999999</v>
      </c>
      <c r="J218" s="21">
        <v>1.234</v>
      </c>
      <c r="K218" s="21">
        <v>1.181</v>
      </c>
      <c r="L218" s="21">
        <v>1.27</v>
      </c>
      <c r="M218" s="21">
        <v>1.2490000000000001</v>
      </c>
      <c r="N218" s="21">
        <v>1.429</v>
      </c>
      <c r="O218" s="24">
        <v>1.552</v>
      </c>
      <c r="P218" s="24">
        <v>1.5029999999999999</v>
      </c>
      <c r="Q218" s="24">
        <v>1.4930000000000001</v>
      </c>
      <c r="R218" s="24">
        <v>1.5469999999999999</v>
      </c>
      <c r="S218" s="24">
        <v>1.6040000000000001</v>
      </c>
    </row>
    <row r="219" spans="1:19" x14ac:dyDescent="0.2">
      <c r="A219" s="3" t="s">
        <v>414</v>
      </c>
      <c r="F219" s="21">
        <v>0.48399999999999999</v>
      </c>
      <c r="G219" s="21">
        <v>0.70399999999999996</v>
      </c>
      <c r="H219" s="21">
        <v>0.77100000000000002</v>
      </c>
      <c r="I219" s="21">
        <v>0.626</v>
      </c>
      <c r="J219" s="21">
        <v>0.80100000000000005</v>
      </c>
      <c r="K219" s="21">
        <v>0.85799999999999998</v>
      </c>
      <c r="L219" s="21">
        <v>0.85599999999999998</v>
      </c>
      <c r="M219" s="21">
        <v>0.879</v>
      </c>
      <c r="N219" s="21">
        <v>1.0429999999999999</v>
      </c>
      <c r="O219" s="24">
        <v>1.054</v>
      </c>
      <c r="P219" s="24">
        <v>1.121</v>
      </c>
      <c r="Q219" s="24">
        <v>1.272</v>
      </c>
      <c r="R219" s="24">
        <v>1.3480000000000001</v>
      </c>
      <c r="S219" s="24">
        <v>1.4470000000000001</v>
      </c>
    </row>
    <row r="220" spans="1:19" x14ac:dyDescent="0.2">
      <c r="A220" s="3" t="s">
        <v>415</v>
      </c>
      <c r="F220" s="21">
        <v>-0.82499999999999996</v>
      </c>
      <c r="G220" s="21">
        <v>-1.0669999999999999</v>
      </c>
      <c r="H220" s="21">
        <v>-0.89400000000000002</v>
      </c>
      <c r="I220" s="21">
        <v>-1.5920000000000001</v>
      </c>
      <c r="J220" s="21">
        <v>-1.6339999999999999</v>
      </c>
      <c r="K220" s="21">
        <v>-1.071</v>
      </c>
      <c r="L220" s="21">
        <v>-1.2909999999999999</v>
      </c>
      <c r="M220" s="21">
        <v>-1.248</v>
      </c>
      <c r="N220" s="21">
        <v>-1.4</v>
      </c>
      <c r="O220" s="24">
        <v>-1.3779999999999999</v>
      </c>
      <c r="P220" s="24">
        <v>-1.276</v>
      </c>
      <c r="Q220" s="24">
        <v>-1.2609999999999999</v>
      </c>
      <c r="R220" s="24">
        <v>-1.296</v>
      </c>
      <c r="S220" s="24">
        <v>-1.337</v>
      </c>
    </row>
    <row r="221" spans="1:19" x14ac:dyDescent="0.2">
      <c r="A221" s="2" t="s">
        <v>576</v>
      </c>
      <c r="F221" s="7" t="str">
        <f t="shared" ref="F221:S221" si="36">IF(ROUND(F$12-SUM(F$217:F$220),3)=0,"OK","ERROR")</f>
        <v>OK</v>
      </c>
      <c r="G221" s="7" t="str">
        <f t="shared" si="36"/>
        <v>OK</v>
      </c>
      <c r="H221" s="7" t="str">
        <f t="shared" si="36"/>
        <v>OK</v>
      </c>
      <c r="I221" s="7" t="str">
        <f t="shared" si="36"/>
        <v>OK</v>
      </c>
      <c r="J221" s="7" t="str">
        <f t="shared" si="36"/>
        <v>OK</v>
      </c>
      <c r="K221" s="7" t="str">
        <f t="shared" si="36"/>
        <v>OK</v>
      </c>
      <c r="L221" s="7" t="str">
        <f t="shared" si="36"/>
        <v>OK</v>
      </c>
      <c r="M221" s="7" t="str">
        <f t="shared" si="36"/>
        <v>OK</v>
      </c>
      <c r="N221" s="7" t="str">
        <f t="shared" si="36"/>
        <v>OK</v>
      </c>
      <c r="O221" s="7" t="str">
        <f t="shared" si="36"/>
        <v>OK</v>
      </c>
      <c r="P221" s="7" t="str">
        <f t="shared" si="36"/>
        <v>OK</v>
      </c>
      <c r="Q221" s="7" t="str">
        <f t="shared" si="36"/>
        <v>OK</v>
      </c>
      <c r="R221" s="7" t="str">
        <f t="shared" si="36"/>
        <v>OK</v>
      </c>
      <c r="S221" s="7" t="str">
        <f t="shared" si="36"/>
        <v>OK</v>
      </c>
    </row>
    <row r="222" spans="1:19" x14ac:dyDescent="0.2">
      <c r="A222" s="2" t="s">
        <v>229</v>
      </c>
    </row>
    <row r="223" spans="1:19" x14ac:dyDescent="0.2">
      <c r="A223" s="3" t="s">
        <v>422</v>
      </c>
      <c r="F223" s="21">
        <v>6.81</v>
      </c>
      <c r="G223" s="21">
        <v>7.3479999999999999</v>
      </c>
      <c r="H223" s="21">
        <v>7.7439999999999998</v>
      </c>
      <c r="I223" s="21">
        <v>8.2899999999999991</v>
      </c>
      <c r="J223" s="21">
        <v>8.83</v>
      </c>
      <c r="K223" s="21">
        <v>9.5839999999999996</v>
      </c>
      <c r="L223" s="21">
        <v>10.234999999999999</v>
      </c>
      <c r="M223" s="21">
        <v>10.913</v>
      </c>
      <c r="N223" s="21">
        <v>11.590999999999999</v>
      </c>
      <c r="O223" s="24">
        <v>12.223000000000001</v>
      </c>
      <c r="P223" s="24">
        <v>12.86</v>
      </c>
      <c r="Q223" s="24">
        <v>13.522</v>
      </c>
      <c r="R223" s="24">
        <v>14.234</v>
      </c>
      <c r="S223" s="24">
        <v>15.071999999999999</v>
      </c>
    </row>
    <row r="224" spans="1:19" x14ac:dyDescent="0.2">
      <c r="A224" s="3" t="s">
        <v>423</v>
      </c>
      <c r="F224" s="21">
        <v>0</v>
      </c>
      <c r="G224" s="21">
        <v>0</v>
      </c>
      <c r="H224" s="21">
        <v>0</v>
      </c>
      <c r="I224" s="21">
        <v>0</v>
      </c>
      <c r="J224" s="21">
        <v>0</v>
      </c>
      <c r="K224" s="21">
        <v>0</v>
      </c>
      <c r="L224" s="21">
        <v>0</v>
      </c>
      <c r="M224" s="21">
        <v>1.6910000000000001</v>
      </c>
      <c r="N224" s="21">
        <v>1.6839999999999999</v>
      </c>
      <c r="O224" s="24">
        <v>1.6759999999999999</v>
      </c>
      <c r="P224" s="24">
        <v>1.718</v>
      </c>
      <c r="Q224" s="24">
        <v>1.6779999999999999</v>
      </c>
      <c r="R224" s="24">
        <v>1.597</v>
      </c>
      <c r="S224" s="24">
        <v>1.591</v>
      </c>
    </row>
    <row r="225" spans="1:19" x14ac:dyDescent="0.2">
      <c r="A225" s="3" t="s">
        <v>152</v>
      </c>
      <c r="F225" s="21">
        <v>0</v>
      </c>
      <c r="G225" s="21">
        <v>0</v>
      </c>
      <c r="H225" s="21">
        <v>0</v>
      </c>
      <c r="I225" s="21">
        <v>0</v>
      </c>
      <c r="J225" s="21">
        <v>0</v>
      </c>
      <c r="K225" s="21">
        <v>0</v>
      </c>
      <c r="L225" s="21">
        <v>0</v>
      </c>
      <c r="M225" s="21">
        <v>1.4219999999999999</v>
      </c>
      <c r="N225" s="21">
        <v>1.5149999999999999</v>
      </c>
      <c r="O225" s="24">
        <v>1.526</v>
      </c>
      <c r="P225" s="24">
        <v>1.538</v>
      </c>
      <c r="Q225" s="24">
        <v>1.5449999999999999</v>
      </c>
      <c r="R225" s="24">
        <v>1.57</v>
      </c>
      <c r="S225" s="24">
        <v>1.6020000000000001</v>
      </c>
    </row>
    <row r="226" spans="1:19" x14ac:dyDescent="0.2">
      <c r="A226" s="3" t="s">
        <v>151</v>
      </c>
      <c r="F226" s="21">
        <v>0</v>
      </c>
      <c r="G226" s="21">
        <v>0</v>
      </c>
      <c r="H226" s="21">
        <v>0</v>
      </c>
      <c r="I226" s="21">
        <v>0</v>
      </c>
      <c r="J226" s="21">
        <v>0</v>
      </c>
      <c r="K226" s="21">
        <v>0</v>
      </c>
      <c r="L226" s="21">
        <v>0</v>
      </c>
      <c r="M226" s="21">
        <v>1.222</v>
      </c>
      <c r="N226" s="21">
        <v>1.1859999999999999</v>
      </c>
      <c r="O226" s="24">
        <v>1.157</v>
      </c>
      <c r="P226" s="24">
        <v>1.254</v>
      </c>
      <c r="Q226" s="24">
        <v>1.2529999999999999</v>
      </c>
      <c r="R226" s="24">
        <v>1.242</v>
      </c>
      <c r="S226" s="24">
        <v>1.25</v>
      </c>
    </row>
    <row r="227" spans="1:19" x14ac:dyDescent="0.2">
      <c r="A227" s="3" t="s">
        <v>424</v>
      </c>
      <c r="F227" s="21">
        <v>3.786</v>
      </c>
      <c r="G227" s="21">
        <v>3.734</v>
      </c>
      <c r="H227" s="21">
        <v>3.9890000000000003</v>
      </c>
      <c r="I227" s="21">
        <v>4.6360000000000001</v>
      </c>
      <c r="J227" s="21">
        <v>4.7490000000000006</v>
      </c>
      <c r="K227" s="21">
        <v>4.7939999999999996</v>
      </c>
      <c r="L227" s="21">
        <v>4.6619999999999999</v>
      </c>
      <c r="M227" s="21">
        <v>0.17299999999999999</v>
      </c>
      <c r="N227" s="21">
        <v>0</v>
      </c>
      <c r="O227" s="24">
        <v>0</v>
      </c>
      <c r="P227" s="24">
        <v>0</v>
      </c>
      <c r="Q227" s="24">
        <v>0</v>
      </c>
      <c r="R227" s="24">
        <v>0</v>
      </c>
      <c r="S227" s="24">
        <v>0</v>
      </c>
    </row>
    <row r="228" spans="1:19" x14ac:dyDescent="0.2">
      <c r="A228" s="3" t="s">
        <v>429</v>
      </c>
      <c r="F228" s="21">
        <v>1.6890000000000001</v>
      </c>
      <c r="G228" s="21">
        <v>1.88</v>
      </c>
      <c r="H228" s="21">
        <v>2.0529999999999999</v>
      </c>
      <c r="I228" s="21">
        <v>2.1589999999999998</v>
      </c>
      <c r="J228" s="21">
        <v>2.13</v>
      </c>
      <c r="K228" s="21">
        <v>2.0710000000000002</v>
      </c>
      <c r="L228" s="21">
        <v>2.0179999999999998</v>
      </c>
      <c r="M228" s="21">
        <v>1.9650000000000001</v>
      </c>
      <c r="N228" s="21">
        <v>1.8540000000000001</v>
      </c>
      <c r="O228" s="24">
        <v>1.8340000000000001</v>
      </c>
      <c r="P228" s="24">
        <v>1.851</v>
      </c>
      <c r="Q228" s="24">
        <v>1.948</v>
      </c>
      <c r="R228" s="24">
        <v>1.9910000000000001</v>
      </c>
      <c r="S228" s="24">
        <v>2.1</v>
      </c>
    </row>
    <row r="229" spans="1:19" x14ac:dyDescent="0.2">
      <c r="A229" s="3" t="s">
        <v>425</v>
      </c>
      <c r="F229" s="21">
        <v>0.53600000000000003</v>
      </c>
      <c r="G229" s="21">
        <v>0.61399999999999999</v>
      </c>
      <c r="H229" s="21">
        <v>0.62</v>
      </c>
      <c r="I229" s="21">
        <v>0.628</v>
      </c>
      <c r="J229" s="21">
        <v>0.61599999999999999</v>
      </c>
      <c r="K229" s="21">
        <v>0.59899999999999998</v>
      </c>
      <c r="L229" s="21">
        <v>0.57499999999999996</v>
      </c>
      <c r="M229" s="21">
        <v>0.56699999999999995</v>
      </c>
      <c r="N229" s="21">
        <v>0.54900000000000004</v>
      </c>
      <c r="O229" s="24">
        <v>0.56699999999999995</v>
      </c>
      <c r="P229" s="24">
        <v>0.64500000000000002</v>
      </c>
      <c r="Q229" s="24">
        <v>0.63800000000000001</v>
      </c>
      <c r="R229" s="24">
        <v>0.629</v>
      </c>
      <c r="S229" s="24">
        <v>0.628</v>
      </c>
    </row>
    <row r="230" spans="1:19" x14ac:dyDescent="0.2">
      <c r="A230" s="3" t="s">
        <v>426</v>
      </c>
      <c r="F230" s="21">
        <v>0.877</v>
      </c>
      <c r="G230" s="21">
        <v>0.89100000000000001</v>
      </c>
      <c r="H230" s="21">
        <v>0.98899999999999999</v>
      </c>
      <c r="I230" s="21">
        <v>1.1539999999999999</v>
      </c>
      <c r="J230" s="21">
        <v>1.1970000000000001</v>
      </c>
      <c r="K230" s="21">
        <v>1.1950000000000001</v>
      </c>
      <c r="L230" s="21">
        <v>1.177</v>
      </c>
      <c r="M230" s="21">
        <v>1.1459999999999999</v>
      </c>
      <c r="N230" s="21">
        <v>1.129</v>
      </c>
      <c r="O230" s="24">
        <v>1.1539999999999999</v>
      </c>
      <c r="P230" s="24">
        <v>1.1990000000000001</v>
      </c>
      <c r="Q230" s="24">
        <v>1.222</v>
      </c>
      <c r="R230" s="24">
        <v>1.206</v>
      </c>
      <c r="S230" s="24">
        <v>1.2090000000000001</v>
      </c>
    </row>
    <row r="231" spans="1:19" x14ac:dyDescent="0.2">
      <c r="A231" s="3" t="s">
        <v>427</v>
      </c>
      <c r="F231" s="21">
        <v>0.434</v>
      </c>
      <c r="G231" s="21">
        <v>0.46500000000000002</v>
      </c>
      <c r="H231" s="21">
        <v>0.504</v>
      </c>
      <c r="I231" s="21">
        <v>0.52200000000000002</v>
      </c>
      <c r="J231" s="21">
        <v>0.55300000000000005</v>
      </c>
      <c r="K231" s="21">
        <v>0.57999999999999996</v>
      </c>
      <c r="L231" s="21">
        <v>0.61099999999999999</v>
      </c>
      <c r="M231" s="21">
        <v>0.66</v>
      </c>
      <c r="N231" s="21">
        <v>0.70299999999999996</v>
      </c>
      <c r="O231" s="24">
        <v>0.77800000000000002</v>
      </c>
      <c r="P231" s="24">
        <v>0.81799999999999995</v>
      </c>
      <c r="Q231" s="24">
        <v>0.872</v>
      </c>
      <c r="R231" s="24">
        <v>0.92700000000000005</v>
      </c>
      <c r="S231" s="24">
        <v>1.0249999999999999</v>
      </c>
    </row>
    <row r="232" spans="1:19" x14ac:dyDescent="0.2">
      <c r="A232" s="3" t="s">
        <v>428</v>
      </c>
      <c r="F232" s="21">
        <v>0.34800000000000003</v>
      </c>
      <c r="G232" s="21">
        <v>0.36699999999999999</v>
      </c>
      <c r="H232" s="21">
        <v>0.39</v>
      </c>
      <c r="I232" s="21">
        <v>0.41099999999999998</v>
      </c>
      <c r="J232" s="21">
        <v>0.40899999999999997</v>
      </c>
      <c r="K232" s="21">
        <v>0.40100000000000002</v>
      </c>
      <c r="L232" s="21">
        <v>0.38400000000000001</v>
      </c>
      <c r="M232" s="21">
        <v>0.379</v>
      </c>
      <c r="N232" s="21">
        <v>0.377</v>
      </c>
      <c r="O232" s="24">
        <v>0.378</v>
      </c>
      <c r="P232" s="24">
        <v>0.38</v>
      </c>
      <c r="Q232" s="24">
        <v>0.38300000000000001</v>
      </c>
      <c r="R232" s="24">
        <v>0.38300000000000001</v>
      </c>
      <c r="S232" s="24">
        <v>0.38700000000000001</v>
      </c>
    </row>
    <row r="233" spans="1:19" x14ac:dyDescent="0.2">
      <c r="A233" s="3" t="s">
        <v>431</v>
      </c>
      <c r="F233" s="21">
        <v>0.38200000000000001</v>
      </c>
      <c r="G233" s="21">
        <v>0.38600000000000001</v>
      </c>
      <c r="H233" s="21">
        <v>0.44400000000000001</v>
      </c>
      <c r="I233" s="21">
        <v>0.56999999999999995</v>
      </c>
      <c r="J233" s="21">
        <v>0.62</v>
      </c>
      <c r="K233" s="21">
        <v>0.64400000000000002</v>
      </c>
      <c r="L233" s="21">
        <v>0.59599999999999997</v>
      </c>
      <c r="M233" s="21">
        <v>0.53900000000000003</v>
      </c>
      <c r="N233" s="21">
        <v>0.51100000000000001</v>
      </c>
      <c r="O233" s="24">
        <v>0.50900000000000001</v>
      </c>
      <c r="P233" s="24">
        <v>0.54500000000000004</v>
      </c>
      <c r="Q233" s="24">
        <v>0.56100000000000005</v>
      </c>
      <c r="R233" s="24">
        <v>0.56000000000000005</v>
      </c>
      <c r="S233" s="24">
        <v>0.56699999999999995</v>
      </c>
    </row>
    <row r="234" spans="1:19" x14ac:dyDescent="0.2">
      <c r="A234" s="3" t="s">
        <v>432</v>
      </c>
      <c r="F234" s="21">
        <v>1.1539999999999999</v>
      </c>
      <c r="G234" s="21">
        <v>1.2250000000000001</v>
      </c>
      <c r="H234" s="21">
        <v>1.49</v>
      </c>
      <c r="I234" s="21">
        <v>1.3840000000000001</v>
      </c>
      <c r="J234" s="21">
        <v>1.5309999999999999</v>
      </c>
      <c r="K234" s="21">
        <v>1.288</v>
      </c>
      <c r="L234" s="21">
        <v>1.29</v>
      </c>
      <c r="M234" s="21">
        <f>1.519-0.173</f>
        <v>1.3459999999999999</v>
      </c>
      <c r="N234" s="21">
        <v>1.2549999999999999</v>
      </c>
      <c r="O234" s="24">
        <v>1.415</v>
      </c>
      <c r="P234" s="24">
        <v>1.4370000000000001</v>
      </c>
      <c r="Q234" s="24">
        <v>1.4490000000000001</v>
      </c>
      <c r="R234" s="24">
        <v>1.46</v>
      </c>
      <c r="S234" s="24">
        <v>1.4810000000000001</v>
      </c>
    </row>
    <row r="235" spans="1:19" x14ac:dyDescent="0.2">
      <c r="A235" s="3" t="s">
        <v>434</v>
      </c>
      <c r="F235" s="21">
        <v>0</v>
      </c>
      <c r="G235" s="21">
        <v>1.1020000000000001</v>
      </c>
      <c r="H235" s="21">
        <v>1.2809999999999999</v>
      </c>
      <c r="I235" s="21">
        <v>1.024</v>
      </c>
      <c r="J235" s="21">
        <v>1.042</v>
      </c>
      <c r="K235" s="21">
        <v>0.68799999999999994</v>
      </c>
      <c r="L235" s="21">
        <v>0.72299999999999998</v>
      </c>
      <c r="M235" s="21">
        <v>0.80400000000000005</v>
      </c>
      <c r="N235" s="21">
        <v>0.85599999999999998</v>
      </c>
      <c r="O235" s="24">
        <v>0.70899999999999996</v>
      </c>
      <c r="P235" s="24">
        <v>0.749</v>
      </c>
      <c r="Q235" s="24">
        <v>0.78300000000000003</v>
      </c>
      <c r="R235" s="24">
        <v>0.81799999999999995</v>
      </c>
      <c r="S235" s="24">
        <v>0.85499999999999998</v>
      </c>
    </row>
    <row r="236" spans="1:19" x14ac:dyDescent="0.2">
      <c r="A236" s="3" t="s">
        <v>435</v>
      </c>
      <c r="F236" s="21">
        <v>0.33</v>
      </c>
      <c r="G236" s="21">
        <v>0.36199999999999999</v>
      </c>
      <c r="H236" s="21">
        <v>0.45800000000000002</v>
      </c>
      <c r="I236" s="21">
        <v>0.435</v>
      </c>
      <c r="J236" s="21">
        <v>0.495</v>
      </c>
      <c r="K236" s="21">
        <v>0.51</v>
      </c>
      <c r="L236" s="21">
        <v>0.437</v>
      </c>
      <c r="M236" s="21">
        <v>0.53300000000000003</v>
      </c>
      <c r="N236" s="21">
        <v>0.51300000000000001</v>
      </c>
      <c r="O236" s="24">
        <v>0.55900000000000005</v>
      </c>
      <c r="P236" s="24">
        <v>0.57199999999999995</v>
      </c>
      <c r="Q236" s="24">
        <v>0.58599999999999997</v>
      </c>
      <c r="R236" s="24">
        <v>0.58599999999999997</v>
      </c>
      <c r="S236" s="24">
        <v>0.58599999999999997</v>
      </c>
    </row>
    <row r="237" spans="1:19" x14ac:dyDescent="0.2">
      <c r="A237" s="2" t="s">
        <v>577</v>
      </c>
      <c r="F237" s="7" t="str">
        <f t="shared" ref="F237:S237" si="37">IF(ROUND(F$15-SUM(F$223:F$236),3)=0,"OK","ERROR")</f>
        <v>OK</v>
      </c>
      <c r="G237" s="7" t="str">
        <f t="shared" si="37"/>
        <v>OK</v>
      </c>
      <c r="H237" s="7" t="str">
        <f t="shared" si="37"/>
        <v>OK</v>
      </c>
      <c r="I237" s="7" t="str">
        <f t="shared" si="37"/>
        <v>OK</v>
      </c>
      <c r="J237" s="7" t="str">
        <f t="shared" si="37"/>
        <v>OK</v>
      </c>
      <c r="K237" s="7" t="str">
        <f t="shared" si="37"/>
        <v>OK</v>
      </c>
      <c r="L237" s="7" t="str">
        <f t="shared" si="37"/>
        <v>OK</v>
      </c>
      <c r="M237" s="7" t="str">
        <f t="shared" si="37"/>
        <v>OK</v>
      </c>
      <c r="N237" s="7" t="str">
        <f t="shared" si="37"/>
        <v>OK</v>
      </c>
      <c r="O237" s="7" t="str">
        <f t="shared" si="37"/>
        <v>OK</v>
      </c>
      <c r="P237" s="7" t="str">
        <f t="shared" si="37"/>
        <v>OK</v>
      </c>
      <c r="Q237" s="7" t="str">
        <f t="shared" si="37"/>
        <v>OK</v>
      </c>
      <c r="R237" s="7" t="str">
        <f t="shared" si="37"/>
        <v>OK</v>
      </c>
      <c r="S237" s="7" t="str">
        <f t="shared" si="37"/>
        <v>OK</v>
      </c>
    </row>
    <row r="238" spans="1:19" x14ac:dyDescent="0.2">
      <c r="A238" s="2" t="s">
        <v>230</v>
      </c>
    </row>
    <row r="239" spans="1:19" x14ac:dyDescent="0.2">
      <c r="A239" s="3" t="s">
        <v>412</v>
      </c>
      <c r="F239" s="21">
        <v>5.0919999999999996</v>
      </c>
      <c r="G239" s="21">
        <v>5.5839999999999996</v>
      </c>
      <c r="H239" s="21">
        <v>6.0369999999999999</v>
      </c>
      <c r="I239" s="21">
        <v>5.9909999999999997</v>
      </c>
      <c r="J239" s="21">
        <v>5.9960000000000004</v>
      </c>
      <c r="K239" s="21">
        <v>5.915</v>
      </c>
      <c r="L239" s="21">
        <v>6.0369999999999999</v>
      </c>
      <c r="M239" s="21">
        <v>6.2320000000000002</v>
      </c>
      <c r="N239" s="21">
        <v>6.5519999999999996</v>
      </c>
      <c r="O239" s="24">
        <v>6.7389999999999999</v>
      </c>
      <c r="P239" s="24">
        <v>6.58</v>
      </c>
      <c r="Q239" s="24">
        <v>6.6059999999999999</v>
      </c>
      <c r="R239" s="24">
        <v>6.6150000000000002</v>
      </c>
      <c r="S239" s="24">
        <v>6.6159999999999997</v>
      </c>
    </row>
    <row r="240" spans="1:19" x14ac:dyDescent="0.2">
      <c r="A240" s="3" t="s">
        <v>413</v>
      </c>
      <c r="F240" s="21">
        <v>8.1829999999999998</v>
      </c>
      <c r="G240" s="21">
        <v>8.7409999999999997</v>
      </c>
      <c r="H240" s="21">
        <v>9.5920000000000005</v>
      </c>
      <c r="I240" s="21">
        <v>10.042999999999999</v>
      </c>
      <c r="J240" s="21">
        <v>10.41</v>
      </c>
      <c r="K240" s="21">
        <v>10.754</v>
      </c>
      <c r="L240" s="21">
        <v>10.965999999999999</v>
      </c>
      <c r="M240" s="21">
        <v>11.315</v>
      </c>
      <c r="N240" s="21">
        <v>11.66</v>
      </c>
      <c r="O240" s="24">
        <v>12.209</v>
      </c>
      <c r="P240" s="24">
        <v>12.311</v>
      </c>
      <c r="Q240" s="24">
        <v>12.406000000000001</v>
      </c>
      <c r="R240" s="24">
        <v>12.475</v>
      </c>
      <c r="S240" s="24">
        <v>12.653</v>
      </c>
    </row>
    <row r="241" spans="1:19" x14ac:dyDescent="0.2">
      <c r="A241" s="3" t="s">
        <v>414</v>
      </c>
      <c r="F241" s="21">
        <v>2.0179999999999998</v>
      </c>
      <c r="G241" s="21">
        <v>2.1640000000000001</v>
      </c>
      <c r="H241" s="21">
        <v>2.4470000000000001</v>
      </c>
      <c r="I241" s="21">
        <v>2.4550000000000001</v>
      </c>
      <c r="J241" s="21">
        <v>2.6949999999999998</v>
      </c>
      <c r="K241" s="21">
        <v>2.819</v>
      </c>
      <c r="L241" s="21">
        <v>2.9489999999999998</v>
      </c>
      <c r="M241" s="21">
        <v>2.956</v>
      </c>
      <c r="N241" s="21">
        <v>2.9350000000000001</v>
      </c>
      <c r="O241" s="24">
        <v>2.9209999999999998</v>
      </c>
      <c r="P241" s="24">
        <v>2.9129999999999998</v>
      </c>
      <c r="Q241" s="24">
        <v>2.9380000000000002</v>
      </c>
      <c r="R241" s="24">
        <v>2.996</v>
      </c>
      <c r="S241" s="24">
        <v>3.056</v>
      </c>
    </row>
    <row r="242" spans="1:19" x14ac:dyDescent="0.2">
      <c r="A242" s="3" t="s">
        <v>415</v>
      </c>
      <c r="F242" s="21">
        <v>-8.9999999999999993E-3</v>
      </c>
      <c r="G242" s="21">
        <v>-1.0999999999999999E-2</v>
      </c>
      <c r="H242" s="21">
        <v>-1.2E-2</v>
      </c>
      <c r="I242" s="21">
        <v>-1.2E-2</v>
      </c>
      <c r="J242" s="21">
        <v>-1.2999999999999999E-2</v>
      </c>
      <c r="K242" s="21">
        <v>-1.2999999999999999E-2</v>
      </c>
      <c r="L242" s="21">
        <v>-1.7000000000000001E-2</v>
      </c>
      <c r="M242" s="21">
        <v>-1.9E-2</v>
      </c>
      <c r="N242" s="21">
        <v>-2.3E-2</v>
      </c>
      <c r="O242" s="24">
        <v>-0.02</v>
      </c>
      <c r="P242" s="24">
        <v>-0.02</v>
      </c>
      <c r="Q242" s="24">
        <v>-0.02</v>
      </c>
      <c r="R242" s="24">
        <v>-0.02</v>
      </c>
      <c r="S242" s="24">
        <v>-0.02</v>
      </c>
    </row>
    <row r="243" spans="1:19" x14ac:dyDescent="0.2">
      <c r="A243" s="2" t="s">
        <v>578</v>
      </c>
      <c r="F243" s="7" t="str">
        <f t="shared" ref="F243:S243" si="38">IF(ROUND(F$16-SUM(F$239:F$242),3)=0,"OK","ERROR")</f>
        <v>OK</v>
      </c>
      <c r="G243" s="7" t="str">
        <f t="shared" si="38"/>
        <v>OK</v>
      </c>
      <c r="H243" s="7" t="str">
        <f t="shared" si="38"/>
        <v>OK</v>
      </c>
      <c r="I243" s="7" t="str">
        <f t="shared" si="38"/>
        <v>OK</v>
      </c>
      <c r="J243" s="7" t="str">
        <f t="shared" si="38"/>
        <v>OK</v>
      </c>
      <c r="K243" s="7" t="str">
        <f t="shared" si="38"/>
        <v>OK</v>
      </c>
      <c r="L243" s="7" t="str">
        <f t="shared" si="38"/>
        <v>OK</v>
      </c>
      <c r="M243" s="7" t="str">
        <f t="shared" si="38"/>
        <v>OK</v>
      </c>
      <c r="N243" s="7" t="str">
        <f t="shared" si="38"/>
        <v>OK</v>
      </c>
      <c r="O243" s="7" t="str">
        <f t="shared" si="38"/>
        <v>OK</v>
      </c>
      <c r="P243" s="7" t="str">
        <f t="shared" si="38"/>
        <v>OK</v>
      </c>
      <c r="Q243" s="7" t="str">
        <f t="shared" si="38"/>
        <v>OK</v>
      </c>
      <c r="R243" s="7" t="str">
        <f t="shared" si="38"/>
        <v>OK</v>
      </c>
      <c r="S243" s="7" t="str">
        <f t="shared" si="38"/>
        <v>OK</v>
      </c>
    </row>
    <row r="244" spans="1:19" x14ac:dyDescent="0.2">
      <c r="A244" s="2" t="s">
        <v>481</v>
      </c>
    </row>
    <row r="245" spans="1:19" x14ac:dyDescent="0.2">
      <c r="A245" s="3" t="s">
        <v>412</v>
      </c>
      <c r="F245" s="21">
        <v>1.1600000000000001</v>
      </c>
      <c r="G245" s="21">
        <v>1.2049999999999983</v>
      </c>
      <c r="H245" s="21">
        <v>1.6130000000000067</v>
      </c>
      <c r="I245" s="21">
        <v>1.3849999999999909</v>
      </c>
      <c r="J245" s="21">
        <v>1.6850000000000023</v>
      </c>
      <c r="K245" s="21">
        <v>1.3870000000000005</v>
      </c>
      <c r="L245" s="21">
        <v>1.3779999999999999</v>
      </c>
      <c r="M245" s="21">
        <v>1.476</v>
      </c>
      <c r="N245" s="21">
        <v>1.4410000000000001</v>
      </c>
      <c r="O245" s="24">
        <v>1.55</v>
      </c>
      <c r="P245" s="24">
        <v>1.5780000000000001</v>
      </c>
      <c r="Q245" s="24">
        <v>1.617</v>
      </c>
      <c r="R245" s="24">
        <v>1.694</v>
      </c>
      <c r="S245" s="24">
        <v>1.724</v>
      </c>
    </row>
    <row r="246" spans="1:19" x14ac:dyDescent="0.2">
      <c r="A246" s="3" t="s">
        <v>413</v>
      </c>
      <c r="F246" s="21">
        <v>1.2999999999999989</v>
      </c>
      <c r="G246" s="21">
        <v>1.3629999999999978</v>
      </c>
      <c r="H246" s="21">
        <v>1.4749999999999996</v>
      </c>
      <c r="I246" s="21">
        <v>1.5390000000000015</v>
      </c>
      <c r="J246" s="21">
        <v>1.3960000000000043</v>
      </c>
      <c r="K246" s="21">
        <v>1.2299999999999969</v>
      </c>
      <c r="L246" s="21">
        <v>1.583</v>
      </c>
      <c r="M246" s="21">
        <v>1.661</v>
      </c>
      <c r="N246" s="21">
        <v>1.7509999999999999</v>
      </c>
      <c r="O246" s="24">
        <v>1.7769999999999999</v>
      </c>
      <c r="P246" s="24">
        <v>1.881</v>
      </c>
      <c r="Q246" s="24">
        <v>1.946</v>
      </c>
      <c r="R246" s="24">
        <v>2.004</v>
      </c>
      <c r="S246" s="24">
        <v>2.0579999999999998</v>
      </c>
    </row>
    <row r="247" spans="1:19" x14ac:dyDescent="0.2">
      <c r="A247" s="3" t="s">
        <v>414</v>
      </c>
      <c r="F247" s="21">
        <v>0.93799999999999972</v>
      </c>
      <c r="G247" s="21">
        <v>1.1020000000000003</v>
      </c>
      <c r="H247" s="21">
        <v>1.2870000000000008</v>
      </c>
      <c r="I247" s="21">
        <v>1.3060000000000009</v>
      </c>
      <c r="J247" s="21">
        <v>1.6020000000000003</v>
      </c>
      <c r="K247" s="21">
        <v>3.7350000000000012</v>
      </c>
      <c r="L247" s="21">
        <v>1.851</v>
      </c>
      <c r="M247" s="21">
        <v>1.7350000000000001</v>
      </c>
      <c r="N247" s="21">
        <v>1.65</v>
      </c>
      <c r="O247" s="24">
        <v>1.609</v>
      </c>
      <c r="P247" s="24">
        <v>1.6539999999999999</v>
      </c>
      <c r="Q247" s="24">
        <v>1.744</v>
      </c>
      <c r="R247" s="24">
        <v>1.7450000000000001</v>
      </c>
      <c r="S247" s="24">
        <v>1.728</v>
      </c>
    </row>
    <row r="248" spans="1:19" x14ac:dyDescent="0.2">
      <c r="A248" s="3" t="s">
        <v>415</v>
      </c>
      <c r="F248" s="21">
        <v>-1.0000000000012221E-3</v>
      </c>
      <c r="G248" s="21">
        <v>0</v>
      </c>
      <c r="H248" s="21">
        <v>-7.0000000000000284E-2</v>
      </c>
      <c r="I248" s="21">
        <v>-1.0000000000012221E-3</v>
      </c>
      <c r="J248" s="21">
        <v>-1.0000000000012221E-3</v>
      </c>
      <c r="K248" s="21">
        <v>-1.9999999999988916E-3</v>
      </c>
      <c r="L248" s="21">
        <v>0</v>
      </c>
      <c r="M248" s="21">
        <v>0</v>
      </c>
      <c r="N248" s="21">
        <v>0</v>
      </c>
      <c r="O248" s="24">
        <v>0</v>
      </c>
      <c r="P248" s="24">
        <v>0</v>
      </c>
      <c r="Q248" s="24">
        <v>0</v>
      </c>
      <c r="R248" s="24">
        <v>0</v>
      </c>
      <c r="S248" s="24">
        <v>0</v>
      </c>
    </row>
    <row r="249" spans="1:19" x14ac:dyDescent="0.2">
      <c r="A249" s="2" t="s">
        <v>579</v>
      </c>
      <c r="F249" s="7" t="str">
        <f t="shared" ref="F249:S249" si="39">IF(ROUND(F$17-SUM(F$245:F$248),3)=0,"OK","ERROR")</f>
        <v>OK</v>
      </c>
      <c r="G249" s="7" t="str">
        <f t="shared" si="39"/>
        <v>OK</v>
      </c>
      <c r="H249" s="7" t="str">
        <f t="shared" si="39"/>
        <v>OK</v>
      </c>
      <c r="I249" s="7" t="str">
        <f t="shared" si="39"/>
        <v>OK</v>
      </c>
      <c r="J249" s="7" t="str">
        <f t="shared" si="39"/>
        <v>OK</v>
      </c>
      <c r="K249" s="7" t="str">
        <f t="shared" si="39"/>
        <v>OK</v>
      </c>
      <c r="L249" s="7" t="str">
        <f t="shared" si="39"/>
        <v>OK</v>
      </c>
      <c r="M249" s="7" t="str">
        <f t="shared" si="39"/>
        <v>OK</v>
      </c>
      <c r="N249" s="7" t="str">
        <f t="shared" si="39"/>
        <v>OK</v>
      </c>
      <c r="O249" s="7" t="str">
        <f t="shared" si="39"/>
        <v>OK</v>
      </c>
      <c r="P249" s="7" t="str">
        <f t="shared" si="39"/>
        <v>OK</v>
      </c>
      <c r="Q249" s="7" t="str">
        <f t="shared" si="39"/>
        <v>OK</v>
      </c>
      <c r="R249" s="7" t="str">
        <f t="shared" si="39"/>
        <v>OK</v>
      </c>
      <c r="S249" s="7" t="str">
        <f t="shared" si="39"/>
        <v>OK</v>
      </c>
    </row>
    <row r="250" spans="1:19" x14ac:dyDescent="0.2">
      <c r="A250" s="2" t="s">
        <v>232</v>
      </c>
    </row>
    <row r="251" spans="1:19" x14ac:dyDescent="0.2">
      <c r="A251" s="3" t="s">
        <v>412</v>
      </c>
      <c r="F251" s="21">
        <v>28.951000000000001</v>
      </c>
      <c r="G251" s="21">
        <v>29.219000000000001</v>
      </c>
      <c r="H251" s="21">
        <v>33.646999999999998</v>
      </c>
      <c r="I251" s="21">
        <v>32.822000000000003</v>
      </c>
      <c r="J251" s="21">
        <v>37.454000000000001</v>
      </c>
      <c r="K251" s="21">
        <v>35.875999999999998</v>
      </c>
      <c r="L251" s="21">
        <v>36.564999999999998</v>
      </c>
      <c r="M251" s="21">
        <v>36.485999999999997</v>
      </c>
      <c r="N251" s="21">
        <v>36.857999999999997</v>
      </c>
      <c r="O251" s="24">
        <v>39.232999999999997</v>
      </c>
      <c r="P251" s="24">
        <v>38.627000000000002</v>
      </c>
      <c r="Q251" s="24">
        <v>38.728000000000002</v>
      </c>
      <c r="R251" s="24">
        <v>38.631999999999998</v>
      </c>
      <c r="S251" s="24">
        <v>38.691000000000003</v>
      </c>
    </row>
    <row r="252" spans="1:19" x14ac:dyDescent="0.2">
      <c r="A252" s="3" t="s">
        <v>413</v>
      </c>
      <c r="F252" s="21">
        <v>12.452</v>
      </c>
      <c r="G252" s="21">
        <v>14.391</v>
      </c>
      <c r="H252" s="21">
        <v>15.859</v>
      </c>
      <c r="I252" s="21">
        <v>16.853999999999999</v>
      </c>
      <c r="J252" s="21">
        <v>16.367999999999999</v>
      </c>
      <c r="K252" s="21">
        <v>16.321000000000002</v>
      </c>
      <c r="L252" s="21">
        <v>17.065000000000001</v>
      </c>
      <c r="M252" s="21">
        <v>17.262</v>
      </c>
      <c r="N252" s="21">
        <v>17.914000000000001</v>
      </c>
      <c r="O252" s="24">
        <v>18.495000000000001</v>
      </c>
      <c r="P252" s="24">
        <v>18.398</v>
      </c>
      <c r="Q252" s="24">
        <v>18.239999999999998</v>
      </c>
      <c r="R252" s="24">
        <v>18.114999999999998</v>
      </c>
      <c r="S252" s="24">
        <v>17.966000000000001</v>
      </c>
    </row>
    <row r="253" spans="1:19" x14ac:dyDescent="0.2">
      <c r="A253" s="3" t="s">
        <v>414</v>
      </c>
      <c r="F253" s="21">
        <v>7.3630000000000004</v>
      </c>
      <c r="G253" s="21">
        <v>9.8529999999999998</v>
      </c>
      <c r="H253" s="21">
        <v>8.9139999999999997</v>
      </c>
      <c r="I253" s="21">
        <v>8.2059999999999995</v>
      </c>
      <c r="J253" s="21">
        <v>8.125</v>
      </c>
      <c r="K253" s="21">
        <v>9.8019999999999996</v>
      </c>
      <c r="L253" s="21">
        <v>9.6890000000000001</v>
      </c>
      <c r="M253" s="21">
        <v>9.0419999999999998</v>
      </c>
      <c r="N253" s="21">
        <v>9.3330000000000002</v>
      </c>
      <c r="O253" s="24">
        <v>9.1180000000000003</v>
      </c>
      <c r="P253" s="24">
        <v>9.6069999999999993</v>
      </c>
      <c r="Q253" s="24">
        <v>10.057</v>
      </c>
      <c r="R253" s="24">
        <v>10.164</v>
      </c>
      <c r="S253" s="24">
        <v>10.355</v>
      </c>
    </row>
    <row r="254" spans="1:19" x14ac:dyDescent="0.2">
      <c r="A254" s="3" t="s">
        <v>415</v>
      </c>
      <c r="F254" s="21">
        <v>-20.923999999999999</v>
      </c>
      <c r="G254" s="21">
        <v>-22.806999999999999</v>
      </c>
      <c r="H254" s="21">
        <v>-24.303999999999998</v>
      </c>
      <c r="I254" s="21">
        <v>-26.544</v>
      </c>
      <c r="J254" s="21">
        <v>-26.117999999999999</v>
      </c>
      <c r="K254" s="21">
        <v>-26.321000000000002</v>
      </c>
      <c r="L254" s="21">
        <v>-27.155999999999999</v>
      </c>
      <c r="M254" s="21">
        <v>-27.565000000000001</v>
      </c>
      <c r="N254" s="21">
        <v>-28.195</v>
      </c>
      <c r="O254" s="24">
        <v>-29.058</v>
      </c>
      <c r="P254" s="24">
        <v>-29.262</v>
      </c>
      <c r="Q254" s="24">
        <v>-29.34</v>
      </c>
      <c r="R254" s="24">
        <v>-29.425000000000001</v>
      </c>
      <c r="S254" s="24">
        <v>-29.523</v>
      </c>
    </row>
    <row r="255" spans="1:19" x14ac:dyDescent="0.2">
      <c r="A255" s="2" t="s">
        <v>580</v>
      </c>
      <c r="F255" s="7" t="str">
        <f t="shared" ref="F255:S255" si="40">IF(ROUND(F$18-SUM(F$251:F$254),3)=0,"OK","ERROR")</f>
        <v>OK</v>
      </c>
      <c r="G255" s="7" t="str">
        <f t="shared" si="40"/>
        <v>OK</v>
      </c>
      <c r="H255" s="7" t="str">
        <f t="shared" si="40"/>
        <v>OK</v>
      </c>
      <c r="I255" s="7" t="str">
        <f t="shared" si="40"/>
        <v>OK</v>
      </c>
      <c r="J255" s="7" t="str">
        <f t="shared" si="40"/>
        <v>OK</v>
      </c>
      <c r="K255" s="7" t="str">
        <f t="shared" si="40"/>
        <v>OK</v>
      </c>
      <c r="L255" s="7" t="str">
        <f t="shared" si="40"/>
        <v>OK</v>
      </c>
      <c r="M255" s="7" t="str">
        <f t="shared" si="40"/>
        <v>OK</v>
      </c>
      <c r="N255" s="7" t="str">
        <f t="shared" si="40"/>
        <v>OK</v>
      </c>
      <c r="O255" s="7" t="str">
        <f t="shared" si="40"/>
        <v>OK</v>
      </c>
      <c r="P255" s="7" t="str">
        <f t="shared" si="40"/>
        <v>OK</v>
      </c>
      <c r="Q255" s="7" t="str">
        <f t="shared" si="40"/>
        <v>OK</v>
      </c>
      <c r="R255" s="7" t="str">
        <f t="shared" si="40"/>
        <v>OK</v>
      </c>
      <c r="S255" s="7" t="str">
        <f t="shared" si="40"/>
        <v>OK</v>
      </c>
    </row>
    <row r="256" spans="1:19" x14ac:dyDescent="0.2">
      <c r="A256" s="2" t="s">
        <v>233</v>
      </c>
    </row>
    <row r="257" spans="1:19" x14ac:dyDescent="0.2">
      <c r="A257" s="3" t="s">
        <v>412</v>
      </c>
      <c r="F257" s="21">
        <v>2.33</v>
      </c>
      <c r="G257" s="21">
        <v>2.46</v>
      </c>
      <c r="H257" s="21">
        <v>2.4289999999999998</v>
      </c>
      <c r="I257" s="21">
        <v>2.3109999999999999</v>
      </c>
      <c r="J257" s="21">
        <v>3.0659999999999998</v>
      </c>
      <c r="K257" s="21">
        <v>3.5110000000000001</v>
      </c>
      <c r="L257" s="21">
        <v>3.62</v>
      </c>
      <c r="M257" s="21">
        <v>3.62</v>
      </c>
      <c r="N257" s="21">
        <v>3.7829999999999999</v>
      </c>
      <c r="O257" s="24">
        <v>3.6560000000000001</v>
      </c>
      <c r="P257" s="24">
        <v>3.9460000000000002</v>
      </c>
      <c r="Q257" s="24">
        <v>4.0510000000000002</v>
      </c>
      <c r="R257" s="24">
        <v>4.22</v>
      </c>
      <c r="S257" s="24">
        <v>4.3310000000000004</v>
      </c>
    </row>
    <row r="258" spans="1:19" x14ac:dyDescent="0.2">
      <c r="A258" s="3" t="s">
        <v>413</v>
      </c>
      <c r="F258" s="21">
        <v>0.26500000000000001</v>
      </c>
      <c r="G258" s="21">
        <v>0.248</v>
      </c>
      <c r="H258" s="21">
        <v>0.185</v>
      </c>
      <c r="I258" s="21">
        <v>0.245</v>
      </c>
      <c r="J258" s="21">
        <v>0.248</v>
      </c>
      <c r="K258" s="21">
        <v>0.246</v>
      </c>
      <c r="L258" s="21">
        <v>0.23499999999999999</v>
      </c>
      <c r="M258" s="21">
        <v>0.219</v>
      </c>
      <c r="N258" s="21">
        <v>0.221</v>
      </c>
      <c r="O258" s="24">
        <v>0.22</v>
      </c>
      <c r="P258" s="24">
        <v>0.222</v>
      </c>
      <c r="Q258" s="24">
        <v>0.23200000000000001</v>
      </c>
      <c r="R258" s="24">
        <v>0.24</v>
      </c>
      <c r="S258" s="24">
        <v>0.246</v>
      </c>
    </row>
    <row r="259" spans="1:19" x14ac:dyDescent="0.2">
      <c r="A259" s="3" t="s">
        <v>414</v>
      </c>
      <c r="F259" s="21">
        <v>0.68500000000000005</v>
      </c>
      <c r="G259" s="21">
        <v>0.87</v>
      </c>
      <c r="H259" s="21">
        <v>0.97</v>
      </c>
      <c r="I259" s="21">
        <v>0.84499999999999997</v>
      </c>
      <c r="J259" s="21">
        <v>1.0269999999999999</v>
      </c>
      <c r="K259" s="21">
        <v>1.268</v>
      </c>
      <c r="L259" s="21">
        <v>1.248</v>
      </c>
      <c r="M259" s="21">
        <v>1.161</v>
      </c>
      <c r="N259" s="21">
        <v>1.28</v>
      </c>
      <c r="O259" s="24">
        <v>1.2709999999999999</v>
      </c>
      <c r="P259" s="24">
        <v>1.288</v>
      </c>
      <c r="Q259" s="24">
        <v>1.4119999999999999</v>
      </c>
      <c r="R259" s="24">
        <v>1.444</v>
      </c>
      <c r="S259" s="24">
        <v>1.5009999999999999</v>
      </c>
    </row>
    <row r="260" spans="1:19" x14ac:dyDescent="0.2">
      <c r="A260" s="3" t="s">
        <v>415</v>
      </c>
      <c r="F260" s="21">
        <v>-0.39500000000000002</v>
      </c>
      <c r="G260" s="21">
        <v>-0.47699999999999998</v>
      </c>
      <c r="H260" s="21">
        <v>-0.51400000000000001</v>
      </c>
      <c r="I260" s="21">
        <v>-0.624</v>
      </c>
      <c r="J260" s="21">
        <v>-0.745</v>
      </c>
      <c r="K260" s="21">
        <v>-0.73499999999999999</v>
      </c>
      <c r="L260" s="21">
        <v>-0.745</v>
      </c>
      <c r="M260" s="21">
        <v>-0.6</v>
      </c>
      <c r="N260" s="21">
        <v>-0.72099999999999997</v>
      </c>
      <c r="O260" s="24">
        <v>-0.72599999999999998</v>
      </c>
      <c r="P260" s="24">
        <v>-0.626</v>
      </c>
      <c r="Q260" s="24">
        <v>-0.61799999999999999</v>
      </c>
      <c r="R260" s="24">
        <v>-0.64400000000000002</v>
      </c>
      <c r="S260" s="24">
        <v>-0.67</v>
      </c>
    </row>
    <row r="261" spans="1:19" x14ac:dyDescent="0.2">
      <c r="A261" s="2" t="s">
        <v>581</v>
      </c>
      <c r="F261" s="7" t="str">
        <f t="shared" ref="F261:S261" si="41">IF(ROUND(F$19-SUM(F$257:F$260),3)=0,"OK","ERROR")</f>
        <v>OK</v>
      </c>
      <c r="G261" s="7" t="str">
        <f t="shared" si="41"/>
        <v>OK</v>
      </c>
      <c r="H261" s="7" t="str">
        <f t="shared" si="41"/>
        <v>OK</v>
      </c>
      <c r="I261" s="7" t="str">
        <f t="shared" si="41"/>
        <v>OK</v>
      </c>
      <c r="J261" s="7" t="str">
        <f t="shared" si="41"/>
        <v>OK</v>
      </c>
      <c r="K261" s="7" t="str">
        <f t="shared" si="41"/>
        <v>OK</v>
      </c>
      <c r="L261" s="7" t="str">
        <f t="shared" si="41"/>
        <v>OK</v>
      </c>
      <c r="M261" s="7" t="str">
        <f t="shared" si="41"/>
        <v>OK</v>
      </c>
      <c r="N261" s="7" t="str">
        <f t="shared" si="41"/>
        <v>OK</v>
      </c>
      <c r="O261" s="7" t="str">
        <f t="shared" si="41"/>
        <v>OK</v>
      </c>
      <c r="P261" s="7" t="str">
        <f t="shared" si="41"/>
        <v>OK</v>
      </c>
      <c r="Q261" s="7" t="str">
        <f t="shared" si="41"/>
        <v>OK</v>
      </c>
      <c r="R261" s="7" t="str">
        <f t="shared" si="41"/>
        <v>OK</v>
      </c>
      <c r="S261" s="7" t="str">
        <f t="shared" si="41"/>
        <v>OK</v>
      </c>
    </row>
    <row r="262" spans="1:19" x14ac:dyDescent="0.2">
      <c r="A262" s="2" t="s">
        <v>234</v>
      </c>
    </row>
    <row r="263" spans="1:19" x14ac:dyDescent="0.2">
      <c r="A263" s="3" t="s">
        <v>589</v>
      </c>
      <c r="F263" s="21">
        <v>2.88</v>
      </c>
      <c r="G263" s="21">
        <v>3.423</v>
      </c>
      <c r="H263" s="21">
        <v>3.762</v>
      </c>
      <c r="I263" s="21">
        <v>2.9220000000000002</v>
      </c>
      <c r="J263" s="21">
        <v>2.9790000000000001</v>
      </c>
      <c r="K263" s="21">
        <v>3.01</v>
      </c>
      <c r="L263" s="21">
        <v>3.133</v>
      </c>
      <c r="M263" s="21">
        <v>3.484</v>
      </c>
      <c r="N263" s="21">
        <v>4.1040000000000001</v>
      </c>
      <c r="O263" s="24">
        <v>3.97</v>
      </c>
      <c r="P263" s="24">
        <v>4.0919999999999996</v>
      </c>
      <c r="Q263" s="24">
        <v>4.2430000000000003</v>
      </c>
      <c r="R263" s="24">
        <v>4.5430000000000001</v>
      </c>
      <c r="S263" s="24">
        <v>4.7539999999999996</v>
      </c>
    </row>
    <row r="264" spans="1:19" x14ac:dyDescent="0.2">
      <c r="A264" s="3" t="s">
        <v>590</v>
      </c>
      <c r="F264" s="21">
        <v>7.6999999999999999E-2</v>
      </c>
      <c r="G264" s="21">
        <v>0.13</v>
      </c>
      <c r="H264" s="21">
        <v>8.7999999999999995E-2</v>
      </c>
      <c r="I264" s="21">
        <v>6.4000000000000001E-2</v>
      </c>
      <c r="J264" s="21">
        <v>11.776</v>
      </c>
      <c r="K264" s="21">
        <v>1.073</v>
      </c>
      <c r="L264" s="21">
        <v>-0.10299999999999999</v>
      </c>
      <c r="M264" s="21">
        <v>-0.111</v>
      </c>
      <c r="N264" s="21">
        <v>-0.35699999999999998</v>
      </c>
      <c r="O264" s="24">
        <v>0.05</v>
      </c>
      <c r="P264" s="24">
        <v>5.2999999999999999E-2</v>
      </c>
      <c r="Q264" s="24">
        <v>0.17199999999999999</v>
      </c>
      <c r="R264" s="24">
        <v>0.20100000000000001</v>
      </c>
      <c r="S264" s="24">
        <v>0.2</v>
      </c>
    </row>
    <row r="265" spans="1:19" x14ac:dyDescent="0.2">
      <c r="A265" s="3" t="s">
        <v>484</v>
      </c>
      <c r="F265" s="21">
        <v>1.7999999999999999E-2</v>
      </c>
      <c r="G265" s="21">
        <v>0.01</v>
      </c>
      <c r="H265" s="21">
        <v>3.2000000000000001E-2</v>
      </c>
      <c r="I265" s="21">
        <v>0.02</v>
      </c>
      <c r="J265" s="21">
        <f>0.022+0.151-0.336</f>
        <v>-0.16300000000000003</v>
      </c>
      <c r="K265" s="21">
        <f>0.02+0.586-0.113</f>
        <v>0.49299999999999999</v>
      </c>
      <c r="L265" s="21">
        <f>0.019-0.022+0.004</f>
        <v>1.0000000000000009E-3</v>
      </c>
      <c r="M265" s="21">
        <f>0.041+0.087</f>
        <v>0.128</v>
      </c>
      <c r="N265" s="21">
        <f>0.335+0.028</f>
        <v>0.36300000000000004</v>
      </c>
      <c r="O265" s="24">
        <f>-0.035+0.012</f>
        <v>-2.3000000000000003E-2</v>
      </c>
      <c r="P265" s="24">
        <f>-0.045+0.012</f>
        <v>-3.3000000000000002E-2</v>
      </c>
      <c r="Q265" s="24">
        <f>-0.021+0.011</f>
        <v>-1.0000000000000002E-2</v>
      </c>
      <c r="R265" s="24">
        <f>-0.005+0.012</f>
        <v>7.0000000000000001E-3</v>
      </c>
      <c r="S265" s="24">
        <v>1.2E-2</v>
      </c>
    </row>
    <row r="266" spans="1:19" x14ac:dyDescent="0.2">
      <c r="A266" s="2" t="s">
        <v>582</v>
      </c>
      <c r="F266" s="7" t="str">
        <f t="shared" ref="F266:S266" si="42">IF(ROUND(F$20-SUM(F$263:F$265),3)=0,"OK","ERROR")</f>
        <v>OK</v>
      </c>
      <c r="G266" s="7" t="str">
        <f t="shared" si="42"/>
        <v>OK</v>
      </c>
      <c r="H266" s="7" t="str">
        <f t="shared" si="42"/>
        <v>OK</v>
      </c>
      <c r="I266" s="7" t="str">
        <f t="shared" si="42"/>
        <v>OK</v>
      </c>
      <c r="J266" s="7" t="str">
        <f t="shared" si="42"/>
        <v>OK</v>
      </c>
      <c r="K266" s="7" t="str">
        <f t="shared" si="42"/>
        <v>OK</v>
      </c>
      <c r="L266" s="7" t="str">
        <f t="shared" si="42"/>
        <v>OK</v>
      </c>
      <c r="M266" s="7" t="str">
        <f t="shared" si="42"/>
        <v>OK</v>
      </c>
      <c r="N266" s="7" t="str">
        <f t="shared" si="42"/>
        <v>OK</v>
      </c>
      <c r="O266" s="7" t="str">
        <f t="shared" si="42"/>
        <v>OK</v>
      </c>
      <c r="P266" s="7" t="str">
        <f t="shared" si="42"/>
        <v>OK</v>
      </c>
      <c r="Q266" s="7" t="str">
        <f t="shared" si="42"/>
        <v>OK</v>
      </c>
      <c r="R266" s="7" t="str">
        <f t="shared" si="42"/>
        <v>OK</v>
      </c>
      <c r="S266" s="7" t="str">
        <f t="shared" si="42"/>
        <v>OK</v>
      </c>
    </row>
    <row r="267" spans="1:19" x14ac:dyDescent="0.2">
      <c r="A267" s="2" t="s">
        <v>235</v>
      </c>
      <c r="F267" s="7"/>
      <c r="G267" s="7"/>
      <c r="H267" s="7"/>
      <c r="I267" s="7"/>
      <c r="J267" s="7"/>
      <c r="K267" s="7"/>
      <c r="L267" s="7"/>
      <c r="M267" s="7"/>
      <c r="N267" s="7"/>
      <c r="O267" s="7"/>
      <c r="P267" s="7"/>
      <c r="Q267" s="7"/>
      <c r="R267" s="7"/>
      <c r="S267" s="7"/>
    </row>
    <row r="268" spans="1:19" x14ac:dyDescent="0.2">
      <c r="A268" s="3" t="s">
        <v>553</v>
      </c>
      <c r="F268" s="21">
        <v>0</v>
      </c>
      <c r="G268" s="21">
        <v>0</v>
      </c>
      <c r="H268" s="21">
        <v>0</v>
      </c>
      <c r="I268" s="21">
        <v>0</v>
      </c>
      <c r="J268" s="21">
        <v>0</v>
      </c>
      <c r="K268" s="21">
        <v>0</v>
      </c>
      <c r="L268" s="21">
        <v>0</v>
      </c>
      <c r="M268" s="21">
        <v>0</v>
      </c>
      <c r="N268" s="21">
        <v>0</v>
      </c>
      <c r="O268" s="24">
        <v>0.27100000000000002</v>
      </c>
      <c r="P268" s="24">
        <v>0.376</v>
      </c>
      <c r="Q268" s="24">
        <v>0.44400000000000001</v>
      </c>
      <c r="R268" s="24">
        <v>0.51400000000000001</v>
      </c>
      <c r="S268" s="24">
        <v>0.51200000000000001</v>
      </c>
    </row>
    <row r="269" spans="1:19" x14ac:dyDescent="0.2">
      <c r="A269" s="3" t="s">
        <v>562</v>
      </c>
      <c r="F269" s="21">
        <v>0</v>
      </c>
      <c r="G269" s="21">
        <v>0</v>
      </c>
      <c r="H269" s="21">
        <v>0</v>
      </c>
      <c r="I269" s="21">
        <v>0</v>
      </c>
      <c r="J269" s="21">
        <v>0</v>
      </c>
      <c r="K269" s="21">
        <v>0</v>
      </c>
      <c r="L269" s="21">
        <v>0</v>
      </c>
      <c r="M269" s="21">
        <v>0</v>
      </c>
      <c r="N269" s="21">
        <v>0</v>
      </c>
      <c r="O269" s="24">
        <v>0</v>
      </c>
      <c r="P269" s="24">
        <v>0.747</v>
      </c>
      <c r="Q269" s="24">
        <v>0.73699999999999999</v>
      </c>
      <c r="R269" s="24">
        <v>0.85099999999999998</v>
      </c>
      <c r="S269" s="24">
        <v>0.89400000000000002</v>
      </c>
    </row>
    <row r="270" spans="1:19" x14ac:dyDescent="0.2">
      <c r="A270" s="3" t="s">
        <v>563</v>
      </c>
      <c r="F270" s="21">
        <v>0</v>
      </c>
      <c r="G270" s="21">
        <v>0</v>
      </c>
      <c r="H270" s="21">
        <v>0</v>
      </c>
      <c r="I270" s="21">
        <v>0</v>
      </c>
      <c r="J270" s="21">
        <v>0</v>
      </c>
      <c r="K270" s="21">
        <v>0</v>
      </c>
      <c r="L270" s="21">
        <v>0</v>
      </c>
      <c r="M270" s="21">
        <v>0</v>
      </c>
      <c r="N270" s="21">
        <v>0</v>
      </c>
      <c r="O270" s="24">
        <v>0</v>
      </c>
      <c r="P270" s="24">
        <v>0</v>
      </c>
      <c r="Q270" s="24">
        <v>2.5</v>
      </c>
      <c r="R270" s="24">
        <v>2.5</v>
      </c>
      <c r="S270" s="24">
        <v>2.5</v>
      </c>
    </row>
    <row r="271" spans="1:19" x14ac:dyDescent="0.2">
      <c r="A271" s="3" t="s">
        <v>564</v>
      </c>
      <c r="F271" s="21">
        <v>0</v>
      </c>
      <c r="G271" s="21">
        <v>0</v>
      </c>
      <c r="H271" s="21">
        <v>0</v>
      </c>
      <c r="I271" s="21">
        <v>0</v>
      </c>
      <c r="J271" s="21">
        <v>0</v>
      </c>
      <c r="K271" s="21">
        <v>0</v>
      </c>
      <c r="L271" s="21">
        <v>0</v>
      </c>
      <c r="M271" s="21">
        <v>0</v>
      </c>
      <c r="N271" s="21">
        <v>0</v>
      </c>
      <c r="O271" s="24">
        <v>0</v>
      </c>
      <c r="P271" s="24">
        <v>0</v>
      </c>
      <c r="Q271" s="24">
        <v>0</v>
      </c>
      <c r="R271" s="24">
        <v>1.5</v>
      </c>
      <c r="S271" s="24">
        <v>1.5</v>
      </c>
    </row>
    <row r="272" spans="1:19" x14ac:dyDescent="0.2">
      <c r="A272" s="3" t="s">
        <v>565</v>
      </c>
      <c r="F272" s="21">
        <v>0</v>
      </c>
      <c r="G272" s="21">
        <v>0</v>
      </c>
      <c r="H272" s="21">
        <v>0</v>
      </c>
      <c r="I272" s="21">
        <v>0</v>
      </c>
      <c r="J272" s="21">
        <v>0</v>
      </c>
      <c r="K272" s="21">
        <v>0</v>
      </c>
      <c r="L272" s="21">
        <v>0</v>
      </c>
      <c r="M272" s="21">
        <v>0</v>
      </c>
      <c r="N272" s="21">
        <v>0</v>
      </c>
      <c r="O272" s="24">
        <v>0</v>
      </c>
      <c r="P272" s="24">
        <v>0</v>
      </c>
      <c r="Q272" s="24">
        <v>0</v>
      </c>
      <c r="R272" s="24">
        <v>0</v>
      </c>
      <c r="S272" s="24">
        <v>1.53</v>
      </c>
    </row>
    <row r="273" spans="1:19" x14ac:dyDescent="0.2">
      <c r="A273" s="2" t="s">
        <v>583</v>
      </c>
      <c r="F273" s="7" t="str">
        <f t="shared" ref="F273:S273" si="43">IF(ROUND(F$21-SUM(F$268:F$272),3)=0,"OK","ERROR")</f>
        <v>OK</v>
      </c>
      <c r="G273" s="7" t="str">
        <f t="shared" si="43"/>
        <v>OK</v>
      </c>
      <c r="H273" s="7" t="str">
        <f t="shared" si="43"/>
        <v>OK</v>
      </c>
      <c r="I273" s="7" t="str">
        <f t="shared" si="43"/>
        <v>OK</v>
      </c>
      <c r="J273" s="7" t="str">
        <f t="shared" si="43"/>
        <v>OK</v>
      </c>
      <c r="K273" s="7" t="str">
        <f t="shared" si="43"/>
        <v>OK</v>
      </c>
      <c r="L273" s="7" t="str">
        <f t="shared" si="43"/>
        <v>OK</v>
      </c>
      <c r="M273" s="7" t="str">
        <f t="shared" si="43"/>
        <v>OK</v>
      </c>
      <c r="N273" s="7" t="str">
        <f t="shared" si="43"/>
        <v>OK</v>
      </c>
      <c r="O273" s="7" t="str">
        <f t="shared" si="43"/>
        <v>OK</v>
      </c>
      <c r="P273" s="7" t="str">
        <f t="shared" si="43"/>
        <v>OK</v>
      </c>
      <c r="Q273" s="7" t="str">
        <f t="shared" si="43"/>
        <v>OK</v>
      </c>
      <c r="R273" s="7" t="str">
        <f t="shared" si="43"/>
        <v>OK</v>
      </c>
      <c r="S273" s="7" t="str">
        <f t="shared" si="43"/>
        <v>OK</v>
      </c>
    </row>
    <row r="274" spans="1:19" x14ac:dyDescent="0.2">
      <c r="A274" s="2" t="s">
        <v>315</v>
      </c>
    </row>
    <row r="275" spans="1:19" x14ac:dyDescent="0.2">
      <c r="A275" s="3" t="s">
        <v>553</v>
      </c>
      <c r="F275" s="21">
        <v>0</v>
      </c>
      <c r="G275" s="21">
        <v>0</v>
      </c>
      <c r="H275" s="21">
        <v>0</v>
      </c>
      <c r="I275" s="21">
        <v>0</v>
      </c>
      <c r="J275" s="21">
        <v>0</v>
      </c>
      <c r="K275" s="21">
        <v>0</v>
      </c>
      <c r="L275" s="21">
        <v>0</v>
      </c>
      <c r="M275" s="21">
        <v>0</v>
      </c>
      <c r="N275" s="21">
        <v>0</v>
      </c>
      <c r="O275" s="24">
        <v>0.34899999999999998</v>
      </c>
      <c r="P275" s="24">
        <v>0.35599999999999998</v>
      </c>
      <c r="Q275" s="24">
        <v>9.8000000000000004E-2</v>
      </c>
      <c r="R275" s="24">
        <v>0</v>
      </c>
      <c r="S275" s="24">
        <v>0</v>
      </c>
    </row>
    <row r="276" spans="1:19" x14ac:dyDescent="0.2">
      <c r="A276" s="3" t="s">
        <v>910</v>
      </c>
      <c r="F276" s="21">
        <v>0</v>
      </c>
      <c r="G276" s="21">
        <v>0</v>
      </c>
      <c r="H276" s="21">
        <v>0</v>
      </c>
      <c r="I276" s="21">
        <v>0</v>
      </c>
      <c r="J276" s="21">
        <v>0</v>
      </c>
      <c r="K276" s="21">
        <v>0</v>
      </c>
      <c r="L276" s="21">
        <v>0</v>
      </c>
      <c r="M276" s="21">
        <v>0</v>
      </c>
      <c r="N276" s="21">
        <v>0</v>
      </c>
      <c r="O276" s="24">
        <v>0.10199999999999999</v>
      </c>
      <c r="P276" s="24">
        <v>0.34</v>
      </c>
      <c r="Q276" s="24">
        <v>0.16800000000000001</v>
      </c>
      <c r="R276" s="24">
        <v>8.5000000000000006E-2</v>
      </c>
      <c r="S276" s="24">
        <v>1.2999999999999999E-2</v>
      </c>
    </row>
    <row r="277" spans="1:19" x14ac:dyDescent="0.2">
      <c r="A277" s="3" t="s">
        <v>911</v>
      </c>
      <c r="F277" s="21">
        <v>0</v>
      </c>
      <c r="G277" s="21">
        <v>0</v>
      </c>
      <c r="H277" s="21">
        <v>0</v>
      </c>
      <c r="I277" s="21">
        <v>0</v>
      </c>
      <c r="J277" s="21">
        <v>0</v>
      </c>
      <c r="K277" s="21">
        <v>0</v>
      </c>
      <c r="L277" s="21">
        <v>0</v>
      </c>
      <c r="M277" s="21">
        <v>0</v>
      </c>
      <c r="N277" s="21">
        <v>0</v>
      </c>
      <c r="O277" s="24">
        <v>0</v>
      </c>
      <c r="P277" s="24">
        <v>0.1</v>
      </c>
      <c r="Q277" s="24">
        <v>0.3</v>
      </c>
      <c r="R277" s="24">
        <v>0.25</v>
      </c>
      <c r="S277" s="24">
        <v>0.25</v>
      </c>
    </row>
    <row r="278" spans="1:19" x14ac:dyDescent="0.2">
      <c r="A278" s="3" t="s">
        <v>912</v>
      </c>
      <c r="F278" s="21">
        <v>0</v>
      </c>
      <c r="G278" s="21">
        <v>0</v>
      </c>
      <c r="H278" s="21">
        <v>0</v>
      </c>
      <c r="I278" s="21">
        <v>0</v>
      </c>
      <c r="J278" s="21">
        <v>0</v>
      </c>
      <c r="K278" s="21">
        <v>0</v>
      </c>
      <c r="L278" s="21">
        <v>0</v>
      </c>
      <c r="M278" s="21">
        <v>0</v>
      </c>
      <c r="N278" s="21">
        <v>0</v>
      </c>
      <c r="O278" s="24">
        <v>0</v>
      </c>
      <c r="P278" s="24">
        <v>0</v>
      </c>
      <c r="Q278" s="24">
        <v>0.1</v>
      </c>
      <c r="R278" s="24">
        <v>0.3</v>
      </c>
      <c r="S278" s="24">
        <v>0.25</v>
      </c>
    </row>
    <row r="279" spans="1:19" x14ac:dyDescent="0.2">
      <c r="A279" s="3" t="s">
        <v>913</v>
      </c>
      <c r="F279" s="21">
        <v>0</v>
      </c>
      <c r="G279" s="21">
        <v>0</v>
      </c>
      <c r="H279" s="21">
        <v>0</v>
      </c>
      <c r="I279" s="21">
        <v>0</v>
      </c>
      <c r="J279" s="21">
        <v>0</v>
      </c>
      <c r="K279" s="21">
        <v>0</v>
      </c>
      <c r="L279" s="21">
        <v>0</v>
      </c>
      <c r="M279" s="21">
        <v>0</v>
      </c>
      <c r="N279" s="21">
        <v>0</v>
      </c>
      <c r="O279" s="24">
        <v>0</v>
      </c>
      <c r="P279" s="24">
        <v>0</v>
      </c>
      <c r="Q279" s="24">
        <v>0</v>
      </c>
      <c r="R279" s="24">
        <v>0.1</v>
      </c>
      <c r="S279" s="24">
        <v>0.3</v>
      </c>
    </row>
    <row r="280" spans="1:19" x14ac:dyDescent="0.2">
      <c r="A280" s="3" t="s">
        <v>914</v>
      </c>
      <c r="F280" s="21">
        <v>0</v>
      </c>
      <c r="G280" s="21">
        <v>0</v>
      </c>
      <c r="H280" s="21">
        <v>0</v>
      </c>
      <c r="I280" s="21">
        <v>0</v>
      </c>
      <c r="J280" s="21">
        <v>0</v>
      </c>
      <c r="K280" s="21">
        <v>0</v>
      </c>
      <c r="L280" s="21">
        <v>0</v>
      </c>
      <c r="M280" s="21">
        <v>0</v>
      </c>
      <c r="N280" s="21">
        <v>0</v>
      </c>
      <c r="O280" s="24">
        <v>0</v>
      </c>
      <c r="P280" s="24">
        <v>0</v>
      </c>
      <c r="Q280" s="24">
        <v>0</v>
      </c>
      <c r="R280" s="24">
        <v>0</v>
      </c>
      <c r="S280" s="24">
        <v>0.1</v>
      </c>
    </row>
    <row r="281" spans="1:19" x14ac:dyDescent="0.2">
      <c r="A281" s="2" t="s">
        <v>566</v>
      </c>
      <c r="F281" s="7" t="str">
        <f>IF(ROUND(F$123-SUM($F$275:F$280),3)=0,"OK","ERROR")</f>
        <v>OK</v>
      </c>
      <c r="G281" s="7" t="str">
        <f>IF(ROUND(G$123-SUM($F$275:G$280),3)=0,"OK","ERROR")</f>
        <v>OK</v>
      </c>
      <c r="H281" s="7" t="str">
        <f>IF(ROUND(H$123-SUM($F$275:H$280),3)=0,"OK","ERROR")</f>
        <v>OK</v>
      </c>
      <c r="I281" s="7" t="str">
        <f>IF(ROUND(I$123-SUM($F$275:I$280),3)=0,"OK","ERROR")</f>
        <v>OK</v>
      </c>
      <c r="J281" s="7" t="str">
        <f>IF(ROUND(J$123-SUM($F$275:J$280),3)=0,"OK","ERROR")</f>
        <v>OK</v>
      </c>
      <c r="K281" s="7" t="str">
        <f>IF(ROUND(K$123-SUM($F$275:K$280),3)=0,"OK","ERROR")</f>
        <v>OK</v>
      </c>
      <c r="L281" s="7" t="str">
        <f>IF(ROUND(L$123-SUM($F$275:L$280),3)=0,"OK","ERROR")</f>
        <v>OK</v>
      </c>
      <c r="M281" s="7" t="str">
        <f>IF(ROUND(M$123-SUM($F$275:M$280),3)=0,"OK","ERROR")</f>
        <v>OK</v>
      </c>
      <c r="N281" s="7" t="str">
        <f>IF(ROUND(N$123-SUM($F$275:N$280),3)=0,"OK","ERROR")</f>
        <v>OK</v>
      </c>
      <c r="O281" s="7" t="str">
        <f>IF(ROUND(O$123-SUM($F$275:O$280),3)=0,"OK","ERROR")</f>
        <v>OK</v>
      </c>
      <c r="P281" s="7" t="str">
        <f>IF(ROUND(P$123-SUM($F$275:P$280),3)=0,"OK","ERROR")</f>
        <v>OK</v>
      </c>
      <c r="Q281" s="7" t="str">
        <f>IF(ROUND(Q$123-SUM($F$275:Q$280),3)=0,"OK","ERROR")</f>
        <v>OK</v>
      </c>
      <c r="R281" s="7" t="str">
        <f>IF(ROUND(R$123-SUM($F$275:R$280),3)=0,"OK","ERROR")</f>
        <v>OK</v>
      </c>
      <c r="S281" s="7" t="str">
        <f>IF(ROUND(S$123-SUM($F$275:S$280),3)=0,"OK","ERROR")</f>
        <v>OK</v>
      </c>
    </row>
    <row r="282" spans="1:19" x14ac:dyDescent="0.2">
      <c r="A282" s="3" t="s">
        <v>915</v>
      </c>
      <c r="F282" s="21">
        <v>0</v>
      </c>
      <c r="G282" s="21">
        <v>0</v>
      </c>
      <c r="H282" s="21">
        <v>0</v>
      </c>
      <c r="I282" s="21">
        <v>0</v>
      </c>
      <c r="J282" s="21">
        <v>0</v>
      </c>
      <c r="K282" s="21">
        <v>0</v>
      </c>
      <c r="L282" s="21">
        <v>0</v>
      </c>
      <c r="M282" s="21">
        <v>0</v>
      </c>
      <c r="N282" s="21">
        <v>0</v>
      </c>
      <c r="O282" s="24">
        <v>0.70799999999999996</v>
      </c>
      <c r="P282" s="24">
        <v>0.9</v>
      </c>
      <c r="Q282" s="24">
        <v>0.91800000000000004</v>
      </c>
      <c r="R282" s="24">
        <v>0.93600000000000005</v>
      </c>
      <c r="S282" s="24">
        <v>0.95499999999999996</v>
      </c>
    </row>
    <row r="283" spans="1:19" x14ac:dyDescent="0.2">
      <c r="A283" s="2" t="s">
        <v>573</v>
      </c>
      <c r="F283" s="23"/>
      <c r="G283" s="23"/>
      <c r="H283" s="23"/>
      <c r="I283" s="23"/>
      <c r="J283" s="23"/>
      <c r="K283" s="23"/>
      <c r="L283" s="23"/>
      <c r="M283" s="25"/>
      <c r="N283" s="25"/>
      <c r="O283" s="25"/>
      <c r="P283" s="25"/>
      <c r="Q283" s="25"/>
      <c r="R283" s="25"/>
      <c r="S283" s="25"/>
    </row>
    <row r="284" spans="1:19" x14ac:dyDescent="0.2">
      <c r="A284" s="3" t="s">
        <v>412</v>
      </c>
      <c r="F284" s="21">
        <v>1.179</v>
      </c>
      <c r="G284" s="21">
        <v>0.35299999999999998</v>
      </c>
      <c r="H284" s="21">
        <v>-1.6160000000000001</v>
      </c>
      <c r="I284" s="21">
        <v>2.0939999999999999</v>
      </c>
      <c r="J284" s="21">
        <v>4.1159999999999997</v>
      </c>
      <c r="K284" s="21">
        <v>0.52600000000000002</v>
      </c>
      <c r="L284" s="21">
        <v>5.0810000000000004</v>
      </c>
      <c r="M284" s="21">
        <v>4.0449999999999999</v>
      </c>
      <c r="N284" s="21">
        <v>4.3890000000000002</v>
      </c>
      <c r="O284" s="24">
        <v>0.65</v>
      </c>
      <c r="P284" s="24">
        <v>2.02</v>
      </c>
      <c r="Q284" s="24">
        <v>2.15</v>
      </c>
      <c r="R284" s="24">
        <v>2.3140000000000001</v>
      </c>
      <c r="S284" s="24">
        <v>2.4790000000000001</v>
      </c>
    </row>
    <row r="285" spans="1:19" x14ac:dyDescent="0.2">
      <c r="A285" s="3" t="s">
        <v>413</v>
      </c>
      <c r="F285" s="21">
        <v>0.36499999999999999</v>
      </c>
      <c r="G285" s="21">
        <v>-0.74299999999999999</v>
      </c>
      <c r="H285" s="21">
        <v>-0.66900000000000004</v>
      </c>
      <c r="I285" s="21">
        <v>0.78700000000000003</v>
      </c>
      <c r="J285" s="21">
        <v>1.0580000000000001</v>
      </c>
      <c r="K285" s="21">
        <v>0.93</v>
      </c>
      <c r="L285" s="21">
        <v>1.1919999999999999</v>
      </c>
      <c r="M285" s="21">
        <v>0.70199999999999996</v>
      </c>
      <c r="N285" s="21">
        <v>2.7519999999999998</v>
      </c>
      <c r="O285" s="24">
        <v>-0.02</v>
      </c>
      <c r="P285" s="24">
        <v>0.28799999999999998</v>
      </c>
      <c r="Q285" s="24">
        <v>0.32200000000000001</v>
      </c>
      <c r="R285" s="24">
        <v>0.36699999999999999</v>
      </c>
      <c r="S285" s="24">
        <v>0.41099999999999998</v>
      </c>
    </row>
    <row r="286" spans="1:19" x14ac:dyDescent="0.2">
      <c r="A286" s="3" t="s">
        <v>414</v>
      </c>
      <c r="F286" s="21">
        <v>6.3E-2</v>
      </c>
      <c r="G286" s="21">
        <v>-3.6999999999999998E-2</v>
      </c>
      <c r="H286" s="21">
        <v>-0.13800000000000001</v>
      </c>
      <c r="I286" s="21">
        <v>-0.105</v>
      </c>
      <c r="J286" s="21">
        <v>-0.28100000000000003</v>
      </c>
      <c r="K286" s="21">
        <v>8.9999999999999993E-3</v>
      </c>
      <c r="L286" s="21">
        <v>0.35399999999999998</v>
      </c>
      <c r="M286" s="21">
        <v>0.161</v>
      </c>
      <c r="N286" s="21">
        <v>-6.3E-2</v>
      </c>
      <c r="O286" s="24">
        <v>0.14299999999999999</v>
      </c>
      <c r="P286" s="24">
        <v>4.2999999999999997E-2</v>
      </c>
      <c r="Q286" s="24">
        <v>2.8000000000000001E-2</v>
      </c>
      <c r="R286" s="24">
        <v>1.4999999999999999E-2</v>
      </c>
      <c r="S286" s="24">
        <v>1.0999999999999999E-2</v>
      </c>
    </row>
    <row r="287" spans="1:19" x14ac:dyDescent="0.2">
      <c r="A287" s="3" t="s">
        <v>415</v>
      </c>
      <c r="F287" s="21">
        <v>-4.2000000000000003E-2</v>
      </c>
      <c r="G287" s="21">
        <v>-0.19</v>
      </c>
      <c r="H287" s="21">
        <v>-0.21099999999999999</v>
      </c>
      <c r="I287" s="21">
        <v>-0.254</v>
      </c>
      <c r="J287" s="21">
        <v>-0.27400000000000002</v>
      </c>
      <c r="K287" s="21">
        <v>-0.77300000000000002</v>
      </c>
      <c r="L287" s="21">
        <v>0.64300000000000002</v>
      </c>
      <c r="M287" s="21">
        <v>-8.7999999999999995E-2</v>
      </c>
      <c r="N287" s="21">
        <v>-0.88200000000000001</v>
      </c>
      <c r="O287" s="24">
        <v>-0.19700000000000001</v>
      </c>
      <c r="P287" s="24">
        <v>-0.157</v>
      </c>
      <c r="Q287" s="24">
        <v>-0.20300000000000001</v>
      </c>
      <c r="R287" s="24">
        <v>-0.218</v>
      </c>
      <c r="S287" s="24">
        <v>-0.22900000000000001</v>
      </c>
    </row>
    <row r="288" spans="1:19" x14ac:dyDescent="0.2">
      <c r="A288" s="2" t="s">
        <v>584</v>
      </c>
      <c r="F288" s="7" t="str">
        <f t="shared" ref="F288:S288" si="44">IF(ROUND(F$26-SUM(F$284:F$287),3)=0,"OK","ERROR")</f>
        <v>OK</v>
      </c>
      <c r="G288" s="7" t="str">
        <f t="shared" si="44"/>
        <v>OK</v>
      </c>
      <c r="H288" s="7" t="str">
        <f t="shared" si="44"/>
        <v>OK</v>
      </c>
      <c r="I288" s="7" t="str">
        <f t="shared" si="44"/>
        <v>OK</v>
      </c>
      <c r="J288" s="7" t="str">
        <f t="shared" si="44"/>
        <v>OK</v>
      </c>
      <c r="K288" s="7" t="str">
        <f t="shared" si="44"/>
        <v>OK</v>
      </c>
      <c r="L288" s="7" t="str">
        <f t="shared" si="44"/>
        <v>OK</v>
      </c>
      <c r="M288" s="7" t="str">
        <f t="shared" si="44"/>
        <v>OK</v>
      </c>
      <c r="N288" s="7" t="str">
        <f t="shared" si="44"/>
        <v>OK</v>
      </c>
      <c r="O288" s="7" t="str">
        <f t="shared" si="44"/>
        <v>OK</v>
      </c>
      <c r="P288" s="7" t="str">
        <f t="shared" si="44"/>
        <v>OK</v>
      </c>
      <c r="Q288" s="7" t="str">
        <f t="shared" si="44"/>
        <v>OK</v>
      </c>
      <c r="R288" s="7" t="str">
        <f t="shared" si="44"/>
        <v>OK</v>
      </c>
      <c r="S288" s="7" t="str">
        <f t="shared" si="44"/>
        <v>OK</v>
      </c>
    </row>
    <row r="289" spans="1:19" x14ac:dyDescent="0.2">
      <c r="A289" s="2" t="s">
        <v>586</v>
      </c>
      <c r="F289" s="13"/>
      <c r="G289" s="13"/>
      <c r="H289" s="13"/>
      <c r="I289" s="13"/>
      <c r="J289" s="13"/>
      <c r="K289" s="13"/>
      <c r="L289" s="13"/>
      <c r="M289" s="13"/>
      <c r="N289" s="13"/>
      <c r="O289" s="13"/>
      <c r="P289" s="13"/>
      <c r="Q289" s="13"/>
      <c r="R289" s="13"/>
      <c r="S289" s="13"/>
    </row>
    <row r="290" spans="1:19" x14ac:dyDescent="0.2">
      <c r="A290" s="3" t="s">
        <v>587</v>
      </c>
      <c r="F290" s="21">
        <v>1.133</v>
      </c>
      <c r="G290" s="21">
        <v>-1.0980000000000001</v>
      </c>
      <c r="H290" s="21">
        <v>-0.69499999999999995</v>
      </c>
      <c r="I290" s="21">
        <v>-1.2310000000000001</v>
      </c>
      <c r="J290" s="21">
        <v>-0.57399999999999995</v>
      </c>
      <c r="K290" s="21">
        <v>-3.8959999999999999</v>
      </c>
      <c r="L290" s="21">
        <v>1.2509999999999999</v>
      </c>
      <c r="M290" s="21">
        <v>0.57699999999999996</v>
      </c>
      <c r="N290" s="21">
        <v>-0.32200000000000001</v>
      </c>
      <c r="O290" s="24">
        <v>-0.37</v>
      </c>
      <c r="P290" s="24">
        <v>0</v>
      </c>
      <c r="Q290" s="24">
        <v>0</v>
      </c>
      <c r="R290" s="24">
        <v>0</v>
      </c>
      <c r="S290" s="24">
        <v>0</v>
      </c>
    </row>
    <row r="291" spans="1:19" x14ac:dyDescent="0.2">
      <c r="A291" s="3" t="s">
        <v>591</v>
      </c>
      <c r="F291" s="21">
        <v>-0.48099999999999998</v>
      </c>
      <c r="G291" s="21">
        <v>-1.7090000000000001</v>
      </c>
      <c r="H291" s="21">
        <v>-4.4909999999999997</v>
      </c>
      <c r="I291" s="21">
        <v>0.41</v>
      </c>
      <c r="J291" s="21">
        <v>0.996</v>
      </c>
      <c r="K291" s="21">
        <v>-2.9420000000000002</v>
      </c>
      <c r="L291" s="21">
        <v>2.3690000000000002</v>
      </c>
      <c r="M291" s="21">
        <v>0.47899999999999998</v>
      </c>
      <c r="N291" s="21">
        <v>-1.3520000000000001</v>
      </c>
      <c r="O291" s="24">
        <v>0.28799999999999998</v>
      </c>
      <c r="P291" s="24">
        <v>0</v>
      </c>
      <c r="Q291" s="24">
        <v>0</v>
      </c>
      <c r="R291" s="24">
        <v>0</v>
      </c>
      <c r="S291" s="24">
        <v>0</v>
      </c>
    </row>
    <row r="292" spans="1:19" x14ac:dyDescent="0.2">
      <c r="A292" s="3" t="s">
        <v>257</v>
      </c>
      <c r="F292" s="21">
        <v>-0.16600000000000001</v>
      </c>
      <c r="G292" s="21">
        <v>-0.11799999999999999</v>
      </c>
      <c r="H292" s="21">
        <v>1.0209999999999999</v>
      </c>
      <c r="I292" s="21">
        <v>-0.13900000000000001</v>
      </c>
      <c r="J292" s="21">
        <v>-0.34300000000000003</v>
      </c>
      <c r="K292" s="21">
        <v>0.312</v>
      </c>
      <c r="L292" s="21">
        <v>8.5999999999999993E-2</v>
      </c>
      <c r="M292" s="21">
        <v>-0.51600000000000001</v>
      </c>
      <c r="N292" s="21">
        <v>2.5000000000000001E-2</v>
      </c>
      <c r="O292" s="24">
        <v>-1.9E-2</v>
      </c>
      <c r="P292" s="24">
        <v>-9.2999999999999999E-2</v>
      </c>
      <c r="Q292" s="24">
        <v>-0.12</v>
      </c>
      <c r="R292" s="24">
        <v>-6.4000000000000001E-2</v>
      </c>
      <c r="S292" s="24">
        <v>-0.10199999999999999</v>
      </c>
    </row>
    <row r="293" spans="1:19" x14ac:dyDescent="0.2">
      <c r="A293" s="2" t="s">
        <v>593</v>
      </c>
      <c r="F293" s="7" t="str">
        <f>IF(ROUND(F$27-SUM(F$290:F$292),3)=0,"OK","ERROR")</f>
        <v>OK</v>
      </c>
      <c r="G293" s="7" t="str">
        <f t="shared" ref="G293:S293" si="45">IF(ROUND(G$27-SUM(G$290:G$292),3)=0,"OK","ERROR")</f>
        <v>OK</v>
      </c>
      <c r="H293" s="7" t="str">
        <f t="shared" si="45"/>
        <v>OK</v>
      </c>
      <c r="I293" s="7" t="str">
        <f t="shared" si="45"/>
        <v>OK</v>
      </c>
      <c r="J293" s="7" t="str">
        <f t="shared" si="45"/>
        <v>OK</v>
      </c>
      <c r="K293" s="7" t="str">
        <f t="shared" si="45"/>
        <v>OK</v>
      </c>
      <c r="L293" s="7" t="str">
        <f t="shared" si="45"/>
        <v>OK</v>
      </c>
      <c r="M293" s="7" t="str">
        <f t="shared" si="45"/>
        <v>OK</v>
      </c>
      <c r="N293" s="7" t="str">
        <f t="shared" si="45"/>
        <v>OK</v>
      </c>
      <c r="O293" s="7" t="str">
        <f t="shared" si="45"/>
        <v>OK</v>
      </c>
      <c r="P293" s="7" t="str">
        <f t="shared" si="45"/>
        <v>OK</v>
      </c>
      <c r="Q293" s="7" t="str">
        <f t="shared" si="45"/>
        <v>OK</v>
      </c>
      <c r="R293" s="7" t="str">
        <f t="shared" si="45"/>
        <v>OK</v>
      </c>
      <c r="S293" s="7" t="str">
        <f t="shared" si="45"/>
        <v>OK</v>
      </c>
    </row>
    <row r="294" spans="1:19" x14ac:dyDescent="0.2">
      <c r="A294" s="3" t="s">
        <v>412</v>
      </c>
      <c r="F294" s="21">
        <v>1.163</v>
      </c>
      <c r="G294" s="21">
        <v>-1.369</v>
      </c>
      <c r="H294" s="21">
        <v>0.123</v>
      </c>
      <c r="I294" s="21">
        <v>-1.351</v>
      </c>
      <c r="J294" s="21">
        <v>-0.58799999999999997</v>
      </c>
      <c r="K294" s="21">
        <v>-3.79</v>
      </c>
      <c r="L294" s="21">
        <v>1.298</v>
      </c>
      <c r="M294" s="21">
        <v>0.22</v>
      </c>
      <c r="N294" s="21">
        <v>-0.71899999999999997</v>
      </c>
      <c r="O294" s="24">
        <v>-0.35899999999999999</v>
      </c>
      <c r="P294" s="24">
        <v>1E-3</v>
      </c>
      <c r="Q294" s="24">
        <v>1E-3</v>
      </c>
      <c r="R294" s="24">
        <v>1E-3</v>
      </c>
      <c r="S294" s="24">
        <v>1E-3</v>
      </c>
    </row>
    <row r="295" spans="1:19" x14ac:dyDescent="0.2">
      <c r="A295" s="3" t="s">
        <v>413</v>
      </c>
      <c r="F295" s="21">
        <v>-0.495</v>
      </c>
      <c r="G295" s="21">
        <v>-1.7250000000000001</v>
      </c>
      <c r="H295" s="21">
        <v>-4.4749999999999996</v>
      </c>
      <c r="I295" s="21">
        <v>0.39800000000000002</v>
      </c>
      <c r="J295" s="21">
        <v>0.93100000000000005</v>
      </c>
      <c r="K295" s="21">
        <v>-2.9550000000000001</v>
      </c>
      <c r="L295" s="21">
        <v>2.3090000000000002</v>
      </c>
      <c r="M295" s="21">
        <v>0.47699999999999998</v>
      </c>
      <c r="N295" s="21">
        <v>-1.335</v>
      </c>
      <c r="O295" s="24">
        <v>0.25800000000000001</v>
      </c>
      <c r="P295" s="24">
        <v>-9.2999999999999999E-2</v>
      </c>
      <c r="Q295" s="24">
        <v>-0.12</v>
      </c>
      <c r="R295" s="24">
        <v>-6.4000000000000001E-2</v>
      </c>
      <c r="S295" s="24">
        <v>-0.10299999999999999</v>
      </c>
    </row>
    <row r="296" spans="1:19" x14ac:dyDescent="0.2">
      <c r="A296" s="3" t="s">
        <v>414</v>
      </c>
      <c r="F296" s="21">
        <v>-0.18099999999999999</v>
      </c>
      <c r="G296" s="21">
        <v>0.17</v>
      </c>
      <c r="H296" s="21">
        <v>0.20499999999999999</v>
      </c>
      <c r="I296" s="21">
        <v>-7.0000000000000001E-3</v>
      </c>
      <c r="J296" s="21">
        <v>-0.26400000000000001</v>
      </c>
      <c r="K296" s="21">
        <v>0.22</v>
      </c>
      <c r="L296" s="21">
        <v>0.1</v>
      </c>
      <c r="M296" s="21">
        <v>-0.156</v>
      </c>
      <c r="N296" s="21">
        <v>0.40500000000000003</v>
      </c>
      <c r="O296" s="24">
        <v>0</v>
      </c>
      <c r="P296" s="24">
        <v>0</v>
      </c>
      <c r="Q296" s="24">
        <v>0</v>
      </c>
      <c r="R296" s="24">
        <v>0</v>
      </c>
      <c r="S296" s="24">
        <v>0</v>
      </c>
    </row>
    <row r="297" spans="1:19" x14ac:dyDescent="0.2">
      <c r="A297" s="3" t="s">
        <v>415</v>
      </c>
      <c r="F297" s="21">
        <v>-1E-3</v>
      </c>
      <c r="G297" s="21">
        <v>-1E-3</v>
      </c>
      <c r="H297" s="21">
        <v>-1.7999999999999999E-2</v>
      </c>
      <c r="I297" s="21">
        <v>0</v>
      </c>
      <c r="J297" s="21">
        <v>0</v>
      </c>
      <c r="K297" s="21">
        <v>-1E-3</v>
      </c>
      <c r="L297" s="21">
        <v>-1E-3</v>
      </c>
      <c r="M297" s="21">
        <v>-1E-3</v>
      </c>
      <c r="N297" s="21">
        <v>0</v>
      </c>
      <c r="O297" s="24">
        <v>0</v>
      </c>
      <c r="P297" s="24">
        <v>-1E-3</v>
      </c>
      <c r="Q297" s="24">
        <v>-1E-3</v>
      </c>
      <c r="R297" s="24">
        <v>-1E-3</v>
      </c>
      <c r="S297" s="24">
        <v>0</v>
      </c>
    </row>
    <row r="298" spans="1:19" x14ac:dyDescent="0.2">
      <c r="A298" s="2" t="s">
        <v>593</v>
      </c>
      <c r="F298" s="7" t="str">
        <f t="shared" ref="F298:S298" si="46">IF(ROUND(F$27-SUM(F$294:F$297),3)=0,"OK","ERROR")</f>
        <v>OK</v>
      </c>
      <c r="G298" s="7" t="str">
        <f t="shared" si="46"/>
        <v>OK</v>
      </c>
      <c r="H298" s="7" t="str">
        <f t="shared" si="46"/>
        <v>OK</v>
      </c>
      <c r="I298" s="7" t="str">
        <f t="shared" si="46"/>
        <v>OK</v>
      </c>
      <c r="J298" s="7" t="str">
        <f t="shared" si="46"/>
        <v>OK</v>
      </c>
      <c r="K298" s="7" t="str">
        <f t="shared" si="46"/>
        <v>OK</v>
      </c>
      <c r="L298" s="7" t="str">
        <f t="shared" si="46"/>
        <v>OK</v>
      </c>
      <c r="M298" s="7" t="str">
        <f t="shared" si="46"/>
        <v>OK</v>
      </c>
      <c r="N298" s="7" t="str">
        <f t="shared" si="46"/>
        <v>OK</v>
      </c>
      <c r="O298" s="7" t="str">
        <f t="shared" si="46"/>
        <v>OK</v>
      </c>
      <c r="P298" s="7" t="str">
        <f t="shared" si="46"/>
        <v>OK</v>
      </c>
      <c r="Q298" s="7" t="str">
        <f t="shared" si="46"/>
        <v>OK</v>
      </c>
      <c r="R298" s="7" t="str">
        <f t="shared" si="46"/>
        <v>OK</v>
      </c>
      <c r="S298" s="7" t="str">
        <f t="shared" si="46"/>
        <v>OK</v>
      </c>
    </row>
    <row r="299" spans="1:19" x14ac:dyDescent="0.2">
      <c r="A299" s="2" t="s">
        <v>895</v>
      </c>
      <c r="L299" s="7"/>
      <c r="M299" s="7"/>
      <c r="N299" s="7"/>
      <c r="O299" s="7"/>
      <c r="P299" s="7"/>
      <c r="Q299" s="7"/>
      <c r="R299" s="7"/>
      <c r="S299" s="7"/>
    </row>
    <row r="300" spans="1:19" x14ac:dyDescent="0.2">
      <c r="A300" s="3" t="s">
        <v>412</v>
      </c>
      <c r="F300" s="21">
        <v>6.5100000000000007</v>
      </c>
      <c r="G300" s="21">
        <v>3.8910000000000027</v>
      </c>
      <c r="H300" s="21">
        <v>-5.8620000000000001</v>
      </c>
      <c r="I300" s="21">
        <v>-7</v>
      </c>
      <c r="J300" s="21">
        <v>-9.2669999999999995</v>
      </c>
      <c r="K300" s="21">
        <v>-11.653999999999993</v>
      </c>
      <c r="L300" s="21">
        <v>0.371</v>
      </c>
      <c r="M300" s="21">
        <v>0.29199999999999998</v>
      </c>
      <c r="N300" s="21">
        <v>3.879</v>
      </c>
      <c r="O300" s="24">
        <v>-0.20300000000000001</v>
      </c>
      <c r="P300" s="24">
        <v>2.2949999999999999</v>
      </c>
      <c r="Q300" s="24">
        <v>2.98</v>
      </c>
      <c r="R300" s="24">
        <v>5.63</v>
      </c>
      <c r="S300" s="24">
        <v>7.2320000000000002</v>
      </c>
    </row>
    <row r="301" spans="1:19" x14ac:dyDescent="0.2">
      <c r="A301" s="3" t="s">
        <v>413</v>
      </c>
      <c r="F301" s="21">
        <v>1.0209999999999992</v>
      </c>
      <c r="G301" s="21">
        <v>-1.5259999999999976</v>
      </c>
      <c r="H301" s="21">
        <v>-4.7270000000000012</v>
      </c>
      <c r="I301" s="21">
        <v>2.3729999999999993</v>
      </c>
      <c r="J301" s="21">
        <v>-3.1430000000000016</v>
      </c>
      <c r="K301" s="21">
        <v>-0.29499999999999998</v>
      </c>
      <c r="L301" s="21">
        <v>5.8770000000000007</v>
      </c>
      <c r="M301" s="21">
        <v>2.9159999999999999</v>
      </c>
      <c r="N301" s="21">
        <v>2.786</v>
      </c>
      <c r="O301" s="24">
        <v>0.55900000000000005</v>
      </c>
      <c r="P301" s="24">
        <v>0.44600000000000001</v>
      </c>
      <c r="Q301" s="24">
        <v>0.39</v>
      </c>
      <c r="R301" s="24">
        <v>0.495</v>
      </c>
      <c r="S301" s="24">
        <v>0.50800000000000001</v>
      </c>
    </row>
    <row r="302" spans="1:19" x14ac:dyDescent="0.2">
      <c r="A302" s="3" t="s">
        <v>414</v>
      </c>
      <c r="F302" s="21">
        <v>0.80800000000000038</v>
      </c>
      <c r="G302" s="21">
        <v>0.72299999999999998</v>
      </c>
      <c r="H302" s="21">
        <v>0.91100000000000003</v>
      </c>
      <c r="I302" s="21">
        <v>0.63500000000000001</v>
      </c>
      <c r="J302" s="21">
        <v>0.32700000000000001</v>
      </c>
      <c r="K302" s="21">
        <v>-1.7859999999999996</v>
      </c>
      <c r="L302" s="21">
        <v>0.61399999999999999</v>
      </c>
      <c r="M302" s="21">
        <v>0.42799999999999999</v>
      </c>
      <c r="N302" s="21">
        <v>0.68899999999999995</v>
      </c>
      <c r="O302" s="24">
        <v>0.78300000000000003</v>
      </c>
      <c r="P302" s="24">
        <v>0.80400000000000005</v>
      </c>
      <c r="Q302" s="24">
        <v>0.85599999999999998</v>
      </c>
      <c r="R302" s="24">
        <v>0.91200000000000003</v>
      </c>
      <c r="S302" s="24">
        <v>0.96899999999999997</v>
      </c>
    </row>
    <row r="303" spans="1:19" x14ac:dyDescent="0.2">
      <c r="A303" s="3" t="s">
        <v>415</v>
      </c>
      <c r="F303" s="21">
        <v>-0.317</v>
      </c>
      <c r="G303" s="21">
        <v>-0.70399999999999996</v>
      </c>
      <c r="H303" s="21">
        <v>-0.82699999999999996</v>
      </c>
      <c r="I303" s="21">
        <v>-0.51700000000000002</v>
      </c>
      <c r="J303" s="21">
        <v>-1.2769999999999977</v>
      </c>
      <c r="K303" s="21">
        <v>-1.1620000000000039</v>
      </c>
      <c r="L303" s="21">
        <v>6.3E-2</v>
      </c>
      <c r="M303" s="21">
        <v>-0.69699999999999995</v>
      </c>
      <c r="N303" s="21">
        <v>-1.583</v>
      </c>
      <c r="O303" s="24">
        <v>-0.84099999999999997</v>
      </c>
      <c r="P303" s="24">
        <v>-0.82</v>
      </c>
      <c r="Q303" s="24">
        <v>-0.82299999999999995</v>
      </c>
      <c r="R303" s="24">
        <v>-0.85899999999999999</v>
      </c>
      <c r="S303" s="24">
        <v>-0.91700000000000004</v>
      </c>
    </row>
    <row r="304" spans="1:19" x14ac:dyDescent="0.2">
      <c r="A304" s="2" t="s">
        <v>595</v>
      </c>
      <c r="F304" s="7" t="str">
        <f>IF(ROUND(F$31-SUM(F$300:F$303),3)=0,"OK","ERROR")</f>
        <v>OK</v>
      </c>
      <c r="G304" s="7" t="str">
        <f t="shared" ref="G304:S304" si="47">IF(ROUND(G$31-SUM(G$300:G$303),3)=0,"OK","ERROR")</f>
        <v>OK</v>
      </c>
      <c r="H304" s="7" t="str">
        <f t="shared" si="47"/>
        <v>OK</v>
      </c>
      <c r="I304" s="7" t="str">
        <f t="shared" si="47"/>
        <v>OK</v>
      </c>
      <c r="J304" s="7" t="str">
        <f t="shared" si="47"/>
        <v>OK</v>
      </c>
      <c r="K304" s="7" t="str">
        <f t="shared" si="47"/>
        <v>OK</v>
      </c>
      <c r="L304" s="7" t="str">
        <f t="shared" si="47"/>
        <v>OK</v>
      </c>
      <c r="M304" s="7" t="str">
        <f t="shared" si="47"/>
        <v>OK</v>
      </c>
      <c r="N304" s="7" t="str">
        <f t="shared" si="47"/>
        <v>OK</v>
      </c>
      <c r="O304" s="7" t="str">
        <f t="shared" si="47"/>
        <v>OK</v>
      </c>
      <c r="P304" s="7" t="str">
        <f t="shared" si="47"/>
        <v>OK</v>
      </c>
      <c r="Q304" s="7" t="str">
        <f t="shared" si="47"/>
        <v>OK</v>
      </c>
      <c r="R304" s="7" t="str">
        <f t="shared" si="47"/>
        <v>OK</v>
      </c>
      <c r="S304" s="7" t="str">
        <f t="shared" si="47"/>
        <v>OK</v>
      </c>
    </row>
    <row r="305" spans="1:19" x14ac:dyDescent="0.2">
      <c r="A305" s="2" t="s">
        <v>508</v>
      </c>
      <c r="F305" s="7"/>
      <c r="G305" s="7"/>
      <c r="H305" s="7"/>
      <c r="I305" s="7"/>
      <c r="J305" s="7"/>
      <c r="K305" s="7"/>
      <c r="L305" s="7"/>
      <c r="M305" s="7"/>
      <c r="N305" s="7"/>
      <c r="O305" s="7"/>
      <c r="P305" s="7"/>
      <c r="Q305" s="7"/>
      <c r="R305" s="7"/>
      <c r="S305" s="7"/>
    </row>
    <row r="306" spans="1:19" x14ac:dyDescent="0.2">
      <c r="A306" s="3" t="s">
        <v>603</v>
      </c>
      <c r="F306" s="21">
        <v>6.3680000000000003</v>
      </c>
      <c r="G306" s="21">
        <v>7.3979999999999997</v>
      </c>
      <c r="H306" s="21">
        <v>7.649</v>
      </c>
      <c r="I306" s="21">
        <v>6.8639999999999999</v>
      </c>
      <c r="J306" s="21">
        <v>7.1040000000000001</v>
      </c>
      <c r="K306" s="21">
        <v>7.2569999999999997</v>
      </c>
      <c r="L306" s="21">
        <v>8.1839999999999993</v>
      </c>
      <c r="M306" s="21">
        <v>8.7720000000000002</v>
      </c>
      <c r="N306" s="21">
        <v>8.9570000000000007</v>
      </c>
      <c r="O306" s="24">
        <v>8.7319999999999993</v>
      </c>
      <c r="P306" s="24">
        <v>8.93</v>
      </c>
      <c r="Q306" s="24">
        <v>9.4710000000000001</v>
      </c>
      <c r="R306" s="24">
        <v>10.029999999999999</v>
      </c>
      <c r="S306" s="24">
        <v>10.497999999999999</v>
      </c>
    </row>
    <row r="307" spans="1:19" x14ac:dyDescent="0.2">
      <c r="A307" s="3" t="s">
        <v>604</v>
      </c>
      <c r="F307" s="21">
        <v>5.69</v>
      </c>
      <c r="G307" s="21">
        <v>6.76</v>
      </c>
      <c r="H307" s="21">
        <v>6.97</v>
      </c>
      <c r="I307" s="21">
        <v>7.02</v>
      </c>
      <c r="J307" s="21">
        <v>14.586</v>
      </c>
      <c r="K307" s="21">
        <v>13.699</v>
      </c>
      <c r="L307" s="21">
        <v>11.699</v>
      </c>
      <c r="M307" s="21">
        <v>9.4489999999999998</v>
      </c>
      <c r="N307" s="21">
        <v>8.6449999999999996</v>
      </c>
      <c r="O307" s="24">
        <v>9.0960000000000001</v>
      </c>
      <c r="P307" s="24">
        <v>8.9</v>
      </c>
      <c r="Q307" s="24">
        <v>8.9</v>
      </c>
      <c r="R307" s="24">
        <v>9.0510000000000002</v>
      </c>
      <c r="S307" s="24">
        <v>9.2789999999999999</v>
      </c>
    </row>
    <row r="308" spans="1:19" x14ac:dyDescent="0.2">
      <c r="A308" s="3" t="s">
        <v>31</v>
      </c>
      <c r="F308" s="21">
        <v>6.0110000000000001</v>
      </c>
      <c r="G308" s="21">
        <v>6.7409999999999997</v>
      </c>
      <c r="H308" s="21">
        <v>6.5529999999999999</v>
      </c>
      <c r="I308" s="21">
        <v>6.79</v>
      </c>
      <c r="J308" s="21">
        <v>7.46</v>
      </c>
      <c r="K308" s="21">
        <v>8.2910000000000004</v>
      </c>
      <c r="L308" s="21">
        <v>8.2880000000000003</v>
      </c>
      <c r="M308" s="21">
        <v>8.7159999999999993</v>
      </c>
      <c r="N308" s="21">
        <v>8.8640000000000008</v>
      </c>
      <c r="O308" s="24">
        <v>9.1180000000000003</v>
      </c>
      <c r="P308" s="24">
        <v>9.3330000000000002</v>
      </c>
      <c r="Q308" s="24">
        <v>9.5069999999999997</v>
      </c>
      <c r="R308" s="24">
        <v>9.6069999999999993</v>
      </c>
      <c r="S308" s="24">
        <v>9.6829999999999998</v>
      </c>
    </row>
    <row r="309" spans="1:19" x14ac:dyDescent="0.2">
      <c r="A309" s="3" t="s">
        <v>605</v>
      </c>
      <c r="F309" s="21">
        <v>3.637</v>
      </c>
      <c r="G309" s="21">
        <v>5.5810000000000004</v>
      </c>
      <c r="H309" s="21">
        <v>8.4920000000000009</v>
      </c>
      <c r="I309" s="21">
        <v>10.419</v>
      </c>
      <c r="J309" s="21">
        <v>11.494999999999999</v>
      </c>
      <c r="K309" s="21">
        <v>12.445</v>
      </c>
      <c r="L309" s="21">
        <v>13.202</v>
      </c>
      <c r="M309" s="21">
        <v>14.63</v>
      </c>
      <c r="N309" s="21">
        <v>15.598000000000001</v>
      </c>
      <c r="O309" s="24">
        <v>16.64</v>
      </c>
      <c r="P309" s="24">
        <v>17.753</v>
      </c>
      <c r="Q309" s="24">
        <v>18.959</v>
      </c>
      <c r="R309" s="24">
        <v>20.207999999999998</v>
      </c>
      <c r="S309" s="24">
        <v>21.507000000000001</v>
      </c>
    </row>
    <row r="310" spans="1:19" x14ac:dyDescent="0.2">
      <c r="A310" s="3" t="s">
        <v>606</v>
      </c>
      <c r="F310" s="21">
        <v>3.1749999999999998</v>
      </c>
      <c r="G310" s="21">
        <v>2.7869999999999999</v>
      </c>
      <c r="H310" s="21">
        <v>3.1360000000000001</v>
      </c>
      <c r="I310" s="21">
        <v>2.7839999999999998</v>
      </c>
      <c r="J310" s="21">
        <v>2.2589999999999999</v>
      </c>
      <c r="K310" s="21">
        <v>2.4220000000000002</v>
      </c>
      <c r="L310" s="21">
        <v>3.5880000000000001</v>
      </c>
      <c r="M310" s="21">
        <v>3.8439999999999999</v>
      </c>
      <c r="N310" s="21">
        <v>5.2140000000000004</v>
      </c>
      <c r="O310" s="24">
        <v>5.1689999999999996</v>
      </c>
      <c r="P310" s="24">
        <v>4.9249999999999998</v>
      </c>
      <c r="Q310" s="24">
        <v>4.9509999999999996</v>
      </c>
      <c r="R310" s="24">
        <v>4.9210000000000003</v>
      </c>
      <c r="S310" s="24">
        <v>4.867</v>
      </c>
    </row>
    <row r="311" spans="1:19" x14ac:dyDescent="0.2">
      <c r="A311" s="3" t="s">
        <v>607</v>
      </c>
      <c r="F311" s="21">
        <v>0.183</v>
      </c>
      <c r="G311" s="21">
        <v>0.188</v>
      </c>
      <c r="H311" s="21">
        <v>0.45400000000000001</v>
      </c>
      <c r="I311" s="21">
        <v>2.1989999999999998</v>
      </c>
      <c r="J311" s="21">
        <v>2.1680000000000001</v>
      </c>
      <c r="K311" s="21">
        <v>2.2490000000000001</v>
      </c>
      <c r="L311" s="21">
        <v>2.2909999999999999</v>
      </c>
      <c r="M311" s="21">
        <v>2.1419999999999999</v>
      </c>
      <c r="N311" s="21">
        <v>2.2989999999999999</v>
      </c>
      <c r="O311" s="24">
        <v>2.8679999999999999</v>
      </c>
      <c r="P311" s="24">
        <v>2.8820000000000001</v>
      </c>
      <c r="Q311" s="24">
        <v>2.9020000000000001</v>
      </c>
      <c r="R311" s="24">
        <v>2.923</v>
      </c>
      <c r="S311" s="24">
        <v>2.9430000000000001</v>
      </c>
    </row>
    <row r="312" spans="1:19" x14ac:dyDescent="0.2">
      <c r="A312" s="3" t="s">
        <v>608</v>
      </c>
      <c r="F312" s="21">
        <v>1.08</v>
      </c>
      <c r="G312" s="21">
        <v>0.626</v>
      </c>
      <c r="H312" s="21">
        <v>0.55900000000000005</v>
      </c>
      <c r="I312" s="21">
        <v>1.238</v>
      </c>
      <c r="J312" s="21">
        <v>1.6120000000000001</v>
      </c>
      <c r="K312" s="21">
        <v>1.03</v>
      </c>
      <c r="L312" s="21">
        <v>1.123</v>
      </c>
      <c r="M312" s="21">
        <v>1.41</v>
      </c>
      <c r="N312" s="21">
        <v>2.0350000000000001</v>
      </c>
      <c r="O312" s="24">
        <v>2.3290000000000002</v>
      </c>
      <c r="P312" s="24">
        <v>2.31</v>
      </c>
      <c r="Q312" s="24">
        <v>2.3239999999999998</v>
      </c>
      <c r="R312" s="24">
        <v>2.343</v>
      </c>
      <c r="S312" s="24">
        <v>2.3530000000000002</v>
      </c>
    </row>
    <row r="313" spans="1:19" x14ac:dyDescent="0.2">
      <c r="A313" s="3" t="s">
        <v>609</v>
      </c>
      <c r="F313" s="21">
        <v>2.3519999999999999</v>
      </c>
      <c r="G313" s="21">
        <v>1.5629999999999999</v>
      </c>
      <c r="H313" s="21">
        <v>3.7450000000000001</v>
      </c>
      <c r="I313" s="21">
        <v>2.972</v>
      </c>
      <c r="J313" s="21">
        <v>5.415</v>
      </c>
      <c r="K313" s="21">
        <v>5.032</v>
      </c>
      <c r="L313" s="21">
        <v>3.7749999999999999</v>
      </c>
      <c r="M313" s="21">
        <v>4.1639999999999997</v>
      </c>
      <c r="N313" s="21">
        <v>3.0150000000000001</v>
      </c>
      <c r="O313" s="24">
        <v>2.9460000000000002</v>
      </c>
      <c r="P313" s="24">
        <v>2.3679999999999999</v>
      </c>
      <c r="Q313" s="24">
        <v>2.4430000000000001</v>
      </c>
      <c r="R313" s="24">
        <v>2.5019999999999998</v>
      </c>
      <c r="S313" s="24">
        <v>2.5979999999999999</v>
      </c>
    </row>
    <row r="314" spans="1:19" x14ac:dyDescent="0.2">
      <c r="A314" s="3" t="s">
        <v>610</v>
      </c>
      <c r="F314" s="21">
        <v>27.48</v>
      </c>
      <c r="G314" s="21">
        <v>36.651000000000003</v>
      </c>
      <c r="H314" s="21">
        <v>38.372999999999998</v>
      </c>
      <c r="I314" s="21">
        <v>35.731999999999999</v>
      </c>
      <c r="J314" s="21">
        <v>39.213999999999999</v>
      </c>
      <c r="K314" s="21">
        <v>38.682000000000002</v>
      </c>
      <c r="L314" s="21">
        <v>34.345999999999997</v>
      </c>
      <c r="M314" s="21">
        <v>38.307000000000002</v>
      </c>
      <c r="N314" s="21">
        <v>43.77</v>
      </c>
      <c r="O314" s="24">
        <v>38.362000000000002</v>
      </c>
      <c r="P314" s="24">
        <v>43.652999999999999</v>
      </c>
      <c r="Q314" s="24">
        <v>39.082000000000001</v>
      </c>
      <c r="R314" s="24">
        <v>37.594999999999999</v>
      </c>
      <c r="S314" s="24">
        <v>41.728000000000002</v>
      </c>
    </row>
    <row r="315" spans="1:19" x14ac:dyDescent="0.2">
      <c r="A315" s="2" t="s">
        <v>611</v>
      </c>
      <c r="F315" s="23">
        <v>73.72</v>
      </c>
      <c r="G315" s="23">
        <v>85.063000000000002</v>
      </c>
      <c r="H315" s="23">
        <v>93.358999999999995</v>
      </c>
      <c r="I315" s="23">
        <v>95.971000000000004</v>
      </c>
      <c r="J315" s="23">
        <v>115.36200000000001</v>
      </c>
      <c r="K315" s="23">
        <v>116.178</v>
      </c>
      <c r="L315" s="23">
        <v>118.779</v>
      </c>
      <c r="M315" s="23">
        <v>123.91800000000001</v>
      </c>
      <c r="N315" s="23">
        <v>135.78700000000001</v>
      </c>
      <c r="O315" s="25">
        <v>135.762</v>
      </c>
      <c r="P315" s="25">
        <v>142.80199999999999</v>
      </c>
      <c r="Q315" s="25">
        <v>142.27699999999999</v>
      </c>
      <c r="R315" s="25">
        <v>145.584</v>
      </c>
      <c r="S315" s="25">
        <v>154.72399999999999</v>
      </c>
    </row>
    <row r="316" spans="1:19" x14ac:dyDescent="0.2">
      <c r="A316" s="2" t="s">
        <v>612</v>
      </c>
      <c r="F316" s="7" t="str">
        <f t="shared" ref="F316:S316" si="48">IF(ROUND(SUM(F$113:F$117)-F$315,3)=0,"OK","ERROR")</f>
        <v>OK</v>
      </c>
      <c r="G316" s="7" t="str">
        <f t="shared" si="48"/>
        <v>OK</v>
      </c>
      <c r="H316" s="7" t="str">
        <f t="shared" si="48"/>
        <v>OK</v>
      </c>
      <c r="I316" s="7" t="str">
        <f t="shared" si="48"/>
        <v>OK</v>
      </c>
      <c r="J316" s="7" t="str">
        <f t="shared" si="48"/>
        <v>OK</v>
      </c>
      <c r="K316" s="7" t="str">
        <f t="shared" si="48"/>
        <v>OK</v>
      </c>
      <c r="L316" s="7" t="str">
        <f t="shared" si="48"/>
        <v>OK</v>
      </c>
      <c r="M316" s="7" t="str">
        <f t="shared" si="48"/>
        <v>OK</v>
      </c>
      <c r="N316" s="7" t="str">
        <f t="shared" si="48"/>
        <v>OK</v>
      </c>
      <c r="O316" s="7" t="str">
        <f t="shared" si="48"/>
        <v>OK</v>
      </c>
      <c r="P316" s="7" t="str">
        <f t="shared" si="48"/>
        <v>OK</v>
      </c>
      <c r="Q316" s="7" t="str">
        <f t="shared" si="48"/>
        <v>OK</v>
      </c>
      <c r="R316" s="7" t="str">
        <f t="shared" si="48"/>
        <v>OK</v>
      </c>
      <c r="S316" s="7" t="str">
        <f t="shared" si="48"/>
        <v>OK</v>
      </c>
    </row>
    <row r="317" spans="1:19" x14ac:dyDescent="0.2">
      <c r="A317" s="2" t="s">
        <v>613</v>
      </c>
      <c r="F317" s="7" t="str">
        <f t="shared" ref="F317:S317" si="49">IF(ROUND(F$114-SUM(F$306:F$307),3)=0,"OK","ERROR")</f>
        <v>OK</v>
      </c>
      <c r="G317" s="7" t="str">
        <f t="shared" si="49"/>
        <v>OK</v>
      </c>
      <c r="H317" s="7" t="str">
        <f t="shared" si="49"/>
        <v>OK</v>
      </c>
      <c r="I317" s="7" t="str">
        <f t="shared" si="49"/>
        <v>OK</v>
      </c>
      <c r="J317" s="7" t="str">
        <f t="shared" si="49"/>
        <v>OK</v>
      </c>
      <c r="K317" s="7" t="str">
        <f t="shared" si="49"/>
        <v>OK</v>
      </c>
      <c r="L317" s="7" t="str">
        <f t="shared" si="49"/>
        <v>OK</v>
      </c>
      <c r="M317" s="7" t="str">
        <f t="shared" si="49"/>
        <v>OK</v>
      </c>
      <c r="N317" s="7" t="str">
        <f t="shared" si="49"/>
        <v>OK</v>
      </c>
      <c r="O317" s="7" t="str">
        <f t="shared" si="49"/>
        <v>OK</v>
      </c>
      <c r="P317" s="7" t="str">
        <f t="shared" si="49"/>
        <v>OK</v>
      </c>
      <c r="Q317" s="7" t="str">
        <f t="shared" si="49"/>
        <v>OK</v>
      </c>
      <c r="R317" s="7" t="str">
        <f t="shared" si="49"/>
        <v>OK</v>
      </c>
      <c r="S317" s="7" t="str">
        <f t="shared" si="49"/>
        <v>OK</v>
      </c>
    </row>
    <row r="318" spans="1:19" x14ac:dyDescent="0.2">
      <c r="A318" s="2" t="s">
        <v>614</v>
      </c>
      <c r="F318" s="7" t="str">
        <f t="shared" ref="F318:S318" si="50">IF(ROUND(F$115-SUM(F$310:F$311,F$313:F$314),3)=0,"OK","ERROR")</f>
        <v>OK</v>
      </c>
      <c r="G318" s="7" t="str">
        <f t="shared" si="50"/>
        <v>OK</v>
      </c>
      <c r="H318" s="7" t="str">
        <f t="shared" si="50"/>
        <v>OK</v>
      </c>
      <c r="I318" s="7" t="str">
        <f t="shared" si="50"/>
        <v>OK</v>
      </c>
      <c r="J318" s="7" t="str">
        <f t="shared" si="50"/>
        <v>OK</v>
      </c>
      <c r="K318" s="7" t="str">
        <f t="shared" si="50"/>
        <v>OK</v>
      </c>
      <c r="L318" s="7" t="str">
        <f t="shared" si="50"/>
        <v>OK</v>
      </c>
      <c r="M318" s="7" t="str">
        <f t="shared" si="50"/>
        <v>OK</v>
      </c>
      <c r="N318" s="7" t="str">
        <f t="shared" si="50"/>
        <v>OK</v>
      </c>
      <c r="O318" s="7" t="str">
        <f t="shared" si="50"/>
        <v>OK</v>
      </c>
      <c r="P318" s="7" t="str">
        <f t="shared" si="50"/>
        <v>OK</v>
      </c>
      <c r="Q318" s="7" t="str">
        <f t="shared" si="50"/>
        <v>OK</v>
      </c>
      <c r="R318" s="7" t="str">
        <f t="shared" si="50"/>
        <v>OK</v>
      </c>
      <c r="S318" s="7" t="str">
        <f t="shared" si="50"/>
        <v>OK</v>
      </c>
    </row>
    <row r="319" spans="1:19" x14ac:dyDescent="0.2">
      <c r="A319" s="2" t="s">
        <v>615</v>
      </c>
      <c r="F319" s="7" t="str">
        <f t="shared" ref="F319:S319" si="51">IF(ROUND(F$117-SUM(F$309,F$312,F$340),3)=0,"OK","ERROR")</f>
        <v>OK</v>
      </c>
      <c r="G319" s="7" t="str">
        <f t="shared" si="51"/>
        <v>OK</v>
      </c>
      <c r="H319" s="7" t="str">
        <f t="shared" si="51"/>
        <v>OK</v>
      </c>
      <c r="I319" s="7" t="str">
        <f t="shared" si="51"/>
        <v>OK</v>
      </c>
      <c r="J319" s="7" t="str">
        <f t="shared" si="51"/>
        <v>OK</v>
      </c>
      <c r="K319" s="7" t="str">
        <f t="shared" si="51"/>
        <v>OK</v>
      </c>
      <c r="L319" s="7" t="str">
        <f t="shared" si="51"/>
        <v>OK</v>
      </c>
      <c r="M319" s="7" t="str">
        <f t="shared" si="51"/>
        <v>OK</v>
      </c>
      <c r="N319" s="7" t="str">
        <f t="shared" si="51"/>
        <v>OK</v>
      </c>
      <c r="O319" s="7" t="str">
        <f t="shared" si="51"/>
        <v>OK</v>
      </c>
      <c r="P319" s="7" t="str">
        <f t="shared" si="51"/>
        <v>OK</v>
      </c>
      <c r="Q319" s="7" t="str">
        <f t="shared" si="51"/>
        <v>OK</v>
      </c>
      <c r="R319" s="7" t="str">
        <f t="shared" si="51"/>
        <v>OK</v>
      </c>
      <c r="S319" s="7" t="str">
        <f t="shared" si="51"/>
        <v>OK</v>
      </c>
    </row>
    <row r="320" spans="1:19" x14ac:dyDescent="0.2">
      <c r="A320" s="2" t="s">
        <v>616</v>
      </c>
      <c r="F320" s="7"/>
      <c r="G320" s="7"/>
      <c r="H320" s="7"/>
      <c r="I320" s="7"/>
      <c r="J320" s="7"/>
      <c r="K320" s="7"/>
      <c r="L320" s="7"/>
      <c r="M320" s="7"/>
      <c r="N320" s="7"/>
      <c r="O320" s="7"/>
      <c r="P320" s="7"/>
      <c r="Q320" s="7"/>
      <c r="R320" s="7"/>
      <c r="S320" s="7"/>
    </row>
    <row r="321" spans="1:19" x14ac:dyDescent="0.2">
      <c r="A321" s="3" t="s">
        <v>617</v>
      </c>
      <c r="F321" s="21">
        <v>16.991</v>
      </c>
      <c r="G321" s="21">
        <v>20.536000000000001</v>
      </c>
      <c r="H321" s="21">
        <v>22.831</v>
      </c>
      <c r="I321" s="21">
        <v>23.097000000000001</v>
      </c>
      <c r="J321" s="21">
        <v>29.928000000000001</v>
      </c>
      <c r="K321" s="21">
        <v>26.062000000000001</v>
      </c>
      <c r="L321" s="21">
        <v>17.798999999999999</v>
      </c>
      <c r="M321" s="21">
        <v>18.359000000000002</v>
      </c>
      <c r="N321" s="21">
        <v>19.481000000000002</v>
      </c>
      <c r="O321" s="24">
        <v>17.608000000000001</v>
      </c>
      <c r="P321" s="24">
        <v>22.11</v>
      </c>
      <c r="Q321" s="24">
        <v>16.687999999999999</v>
      </c>
      <c r="R321" s="24">
        <v>14.334</v>
      </c>
      <c r="S321" s="24">
        <v>17.178999999999998</v>
      </c>
    </row>
    <row r="322" spans="1:19" x14ac:dyDescent="0.2">
      <c r="A322" s="3" t="s">
        <v>618</v>
      </c>
      <c r="F322" s="21">
        <v>17.718</v>
      </c>
      <c r="G322" s="21">
        <v>18.158999999999999</v>
      </c>
      <c r="H322" s="21">
        <v>22.372</v>
      </c>
      <c r="I322" s="21">
        <v>19.260000000000002</v>
      </c>
      <c r="J322" s="21">
        <v>17.908999999999999</v>
      </c>
      <c r="K322" s="21">
        <v>17.573</v>
      </c>
      <c r="L322" s="21">
        <v>19.341999999999999</v>
      </c>
      <c r="M322" s="21">
        <v>18.849</v>
      </c>
      <c r="N322" s="21">
        <v>22.905000000000001</v>
      </c>
      <c r="O322" s="24">
        <v>22.023</v>
      </c>
      <c r="P322" s="24">
        <v>22.273</v>
      </c>
      <c r="Q322" s="24">
        <v>21.706</v>
      </c>
      <c r="R322" s="24">
        <v>21.780999999999999</v>
      </c>
      <c r="S322" s="24">
        <v>21.972999999999999</v>
      </c>
    </row>
    <row r="323" spans="1:19" x14ac:dyDescent="0.2">
      <c r="A323" s="3" t="s">
        <v>620</v>
      </c>
      <c r="F323" s="21">
        <v>15.003</v>
      </c>
      <c r="G323" s="21">
        <v>17.006</v>
      </c>
      <c r="H323" s="21">
        <v>17.399000000000001</v>
      </c>
      <c r="I323" s="21">
        <v>16.507999999999999</v>
      </c>
      <c r="J323" s="21">
        <v>19.116</v>
      </c>
      <c r="K323" s="21">
        <v>20.454999999999998</v>
      </c>
      <c r="L323" s="21">
        <v>22.338999999999999</v>
      </c>
      <c r="M323" s="21">
        <f>25.018-0.66</f>
        <v>24.358000000000001</v>
      </c>
      <c r="N323" s="21">
        <v>22.907</v>
      </c>
      <c r="O323" s="24">
        <v>22.527999999999999</v>
      </c>
      <c r="P323" s="24">
        <v>22.268000000000001</v>
      </c>
      <c r="Q323" s="24">
        <v>22.888000000000002</v>
      </c>
      <c r="R323" s="24">
        <v>23.542999999999999</v>
      </c>
      <c r="S323" s="24">
        <v>24.193000000000001</v>
      </c>
    </row>
    <row r="324" spans="1:19" x14ac:dyDescent="0.2">
      <c r="A324" s="3" t="s">
        <v>621</v>
      </c>
      <c r="F324" s="21">
        <f>-10.204-0.243</f>
        <v>-10.447000000000001</v>
      </c>
      <c r="G324" s="21">
        <f>-9.595-0.267</f>
        <v>-9.8620000000000001</v>
      </c>
      <c r="H324" s="21">
        <v>-9.8659999999999997</v>
      </c>
      <c r="I324" s="21">
        <f>-8.437+0.002</f>
        <v>-8.4349999999999987</v>
      </c>
      <c r="J324" s="21">
        <v>-9.1649999999999991</v>
      </c>
      <c r="K324" s="21">
        <v>-7.9240000000000004</v>
      </c>
      <c r="L324" s="21">
        <v>-7.7880000000000003</v>
      </c>
      <c r="M324" s="21">
        <f>-8.473+0.66</f>
        <v>-7.8130000000000006</v>
      </c>
      <c r="N324" s="21">
        <v>-7.8120000000000003</v>
      </c>
      <c r="O324" s="24">
        <f>-7.783+0.001</f>
        <v>-7.782</v>
      </c>
      <c r="P324" s="24">
        <f>-8.24-0.001</f>
        <v>-8.2409999999999997</v>
      </c>
      <c r="Q324" s="24">
        <v>-7.5149999999999997</v>
      </c>
      <c r="R324" s="24">
        <v>-7.4770000000000003</v>
      </c>
      <c r="S324" s="24">
        <v>-7.444</v>
      </c>
    </row>
    <row r="325" spans="1:19" x14ac:dyDescent="0.2">
      <c r="A325" s="2" t="s">
        <v>625</v>
      </c>
      <c r="F325" s="7" t="str">
        <f t="shared" ref="F325:S325" si="52">IF(ROUND(SUM(F$182:F$184,F$187,F$190)-SUM(F$321:F$324,F$375),3)=0,"OK","ERROR")</f>
        <v>OK</v>
      </c>
      <c r="G325" s="7" t="str">
        <f t="shared" si="52"/>
        <v>OK</v>
      </c>
      <c r="H325" s="7" t="str">
        <f t="shared" si="52"/>
        <v>OK</v>
      </c>
      <c r="I325" s="7" t="str">
        <f t="shared" si="52"/>
        <v>OK</v>
      </c>
      <c r="J325" s="7" t="str">
        <f t="shared" si="52"/>
        <v>OK</v>
      </c>
      <c r="K325" s="7" t="str">
        <f t="shared" si="52"/>
        <v>OK</v>
      </c>
      <c r="L325" s="7" t="str">
        <f t="shared" si="52"/>
        <v>OK</v>
      </c>
      <c r="M325" s="7" t="str">
        <f t="shared" si="52"/>
        <v>OK</v>
      </c>
      <c r="N325" s="7" t="str">
        <f t="shared" si="52"/>
        <v>OK</v>
      </c>
      <c r="O325" s="7" t="str">
        <f t="shared" si="52"/>
        <v>OK</v>
      </c>
      <c r="P325" s="7" t="str">
        <f t="shared" si="52"/>
        <v>OK</v>
      </c>
      <c r="Q325" s="7" t="str">
        <f t="shared" si="52"/>
        <v>OK</v>
      </c>
      <c r="R325" s="7" t="str">
        <f t="shared" si="52"/>
        <v>OK</v>
      </c>
      <c r="S325" s="7" t="str">
        <f t="shared" si="52"/>
        <v>OK</v>
      </c>
    </row>
    <row r="326" spans="1:19" x14ac:dyDescent="0.2">
      <c r="A326" s="3" t="s">
        <v>626</v>
      </c>
      <c r="F326" s="21">
        <v>12.169</v>
      </c>
      <c r="G326" s="21">
        <v>12.958</v>
      </c>
      <c r="H326" s="21">
        <v>14.281000000000001</v>
      </c>
      <c r="I326" s="21">
        <v>16.975000000000001</v>
      </c>
      <c r="J326" s="21">
        <v>21.568999999999999</v>
      </c>
      <c r="K326" s="21">
        <v>25.34</v>
      </c>
      <c r="L326" s="21">
        <v>28.242999999999999</v>
      </c>
      <c r="M326" s="21">
        <v>30.896999999999998</v>
      </c>
      <c r="N326" s="21">
        <v>35.765000000000001</v>
      </c>
      <c r="O326" s="24">
        <v>36.194000000000003</v>
      </c>
      <c r="P326" s="24">
        <v>37.145000000000003</v>
      </c>
      <c r="Q326" s="24">
        <v>38.396999999999998</v>
      </c>
      <c r="R326" s="24">
        <v>39.755000000000003</v>
      </c>
      <c r="S326" s="24">
        <v>41.179000000000002</v>
      </c>
    </row>
    <row r="327" spans="1:19" x14ac:dyDescent="0.2">
      <c r="A327" s="3" t="s">
        <v>627</v>
      </c>
      <c r="F327" s="21">
        <v>5.484</v>
      </c>
      <c r="G327" s="21">
        <v>5.6150000000000002</v>
      </c>
      <c r="H327" s="21">
        <v>5.6390000000000002</v>
      </c>
      <c r="I327" s="21">
        <v>6.0030000000000001</v>
      </c>
      <c r="J327" s="21">
        <v>9.3049999999999997</v>
      </c>
      <c r="K327" s="21">
        <v>7.2519999999999998</v>
      </c>
      <c r="L327" s="21">
        <v>5.4009999999999998</v>
      </c>
      <c r="M327" s="21">
        <v>3.605</v>
      </c>
      <c r="N327" s="21">
        <v>2.4849999999999999</v>
      </c>
      <c r="O327" s="24">
        <v>1.0740000000000001</v>
      </c>
      <c r="P327" s="24">
        <v>0.314</v>
      </c>
      <c r="Q327" s="24">
        <v>0.193</v>
      </c>
      <c r="R327" s="24">
        <v>0.21099999999999999</v>
      </c>
      <c r="S327" s="24">
        <v>0.25800000000000001</v>
      </c>
    </row>
    <row r="328" spans="1:19" x14ac:dyDescent="0.2">
      <c r="A328" s="3" t="s">
        <v>628</v>
      </c>
      <c r="F328" s="21">
        <v>6.2969999999999997</v>
      </c>
      <c r="G328" s="21">
        <v>6.8440000000000003</v>
      </c>
      <c r="H328" s="21">
        <v>6.9290000000000003</v>
      </c>
      <c r="I328" s="21">
        <v>6.8739999999999997</v>
      </c>
      <c r="J328" s="21">
        <v>8.8309999999999995</v>
      </c>
      <c r="K328" s="21">
        <v>11.167999999999999</v>
      </c>
      <c r="L328" s="21">
        <v>9.0749999999999993</v>
      </c>
      <c r="M328" s="21">
        <v>9.8870000000000005</v>
      </c>
      <c r="N328" s="21">
        <v>10.311</v>
      </c>
      <c r="O328" s="24">
        <v>9.3409999999999993</v>
      </c>
      <c r="P328" s="24">
        <v>8.9420000000000002</v>
      </c>
      <c r="Q328" s="24">
        <v>8.7210000000000001</v>
      </c>
      <c r="R328" s="24">
        <v>8.7170000000000005</v>
      </c>
      <c r="S328" s="24">
        <v>8.6929999999999996</v>
      </c>
    </row>
    <row r="329" spans="1:19" x14ac:dyDescent="0.2">
      <c r="A329" s="3" t="s">
        <v>621</v>
      </c>
      <c r="F329" s="21">
        <v>-1.407</v>
      </c>
      <c r="G329" s="21">
        <v>-1.5169999999999999</v>
      </c>
      <c r="H329" s="21">
        <v>-1.5209999999999999</v>
      </c>
      <c r="I329" s="21">
        <v>-1.716</v>
      </c>
      <c r="J329" s="21">
        <v>-3.3140000000000001</v>
      </c>
      <c r="K329" s="21">
        <v>-3.6850000000000001</v>
      </c>
      <c r="L329" s="21">
        <v>-1.4219999999999999</v>
      </c>
      <c r="M329" s="21">
        <v>-2.464</v>
      </c>
      <c r="N329" s="21">
        <v>-3.3050000000000002</v>
      </c>
      <c r="O329" s="24">
        <v>-2.7330000000000001</v>
      </c>
      <c r="P329" s="24">
        <v>-2.6219999999999999</v>
      </c>
      <c r="Q329" s="24">
        <v>-2.5129999999999999</v>
      </c>
      <c r="R329" s="24">
        <v>-2.4049999999999998</v>
      </c>
      <c r="S329" s="24">
        <v>-2.2949999999999999</v>
      </c>
    </row>
    <row r="330" spans="1:19" x14ac:dyDescent="0.2">
      <c r="A330" s="3" t="s">
        <v>629</v>
      </c>
      <c r="F330" s="21">
        <v>8.9420000000000002</v>
      </c>
      <c r="G330" s="21">
        <v>11.726000000000001</v>
      </c>
      <c r="H330" s="21">
        <v>14.702</v>
      </c>
      <c r="I330" s="21">
        <v>16.064</v>
      </c>
      <c r="J330" s="21">
        <v>20.241</v>
      </c>
      <c r="K330" s="21">
        <v>19.186</v>
      </c>
      <c r="L330" s="21">
        <v>20.058</v>
      </c>
      <c r="M330" s="21">
        <v>21.151</v>
      </c>
      <c r="N330" s="21">
        <v>22.588000000000001</v>
      </c>
      <c r="O330" s="24">
        <v>24.297000000000001</v>
      </c>
      <c r="P330" s="24">
        <v>25.413</v>
      </c>
      <c r="Q330" s="24">
        <v>26.818000000000001</v>
      </c>
      <c r="R330" s="24">
        <v>28.67</v>
      </c>
      <c r="S330" s="24">
        <v>30.707000000000001</v>
      </c>
    </row>
    <row r="331" spans="1:19" x14ac:dyDescent="0.2">
      <c r="A331" s="3" t="s">
        <v>415</v>
      </c>
      <c r="F331" s="21">
        <f>-9.849+0.243</f>
        <v>-9.6059999999999999</v>
      </c>
      <c r="G331" s="21">
        <f>-10.46+0.267</f>
        <v>-10.193000000000001</v>
      </c>
      <c r="H331" s="21">
        <v>-12.284000000000001</v>
      </c>
      <c r="I331" s="21">
        <f>-14.209-0.002</f>
        <v>-14.211</v>
      </c>
      <c r="J331" s="21">
        <v>-17.745000000000001</v>
      </c>
      <c r="K331" s="21">
        <v>-18.064</v>
      </c>
      <c r="L331" s="21">
        <v>-17.687000000000001</v>
      </c>
      <c r="M331" s="21">
        <v>-19.901</v>
      </c>
      <c r="N331" s="21">
        <v>-20.812000000000001</v>
      </c>
      <c r="O331" s="24">
        <f>-20.446-0.001</f>
        <v>-20.447000000000003</v>
      </c>
      <c r="P331" s="24">
        <f>-19.831+0.001</f>
        <v>-19.829999999999998</v>
      </c>
      <c r="Q331" s="24">
        <v>-20.253</v>
      </c>
      <c r="R331" s="24">
        <v>-20.956</v>
      </c>
      <c r="S331" s="24">
        <v>-21.553999999999998</v>
      </c>
    </row>
    <row r="332" spans="1:19" x14ac:dyDescent="0.2">
      <c r="A332" s="2" t="s">
        <v>630</v>
      </c>
      <c r="F332" s="7" t="str">
        <f t="shared" ref="F332:S332" si="53">IF(ROUND(SUM(F$113:F$117)-SUM(F$321:F$324,F$375,F$326:F$331),3)=0,"OK","ERROR")</f>
        <v>OK</v>
      </c>
      <c r="G332" s="7" t="str">
        <f t="shared" si="53"/>
        <v>OK</v>
      </c>
      <c r="H332" s="7" t="str">
        <f t="shared" si="53"/>
        <v>OK</v>
      </c>
      <c r="I332" s="7" t="str">
        <f t="shared" si="53"/>
        <v>OK</v>
      </c>
      <c r="J332" s="7" t="str">
        <f t="shared" si="53"/>
        <v>OK</v>
      </c>
      <c r="K332" s="7" t="str">
        <f t="shared" si="53"/>
        <v>OK</v>
      </c>
      <c r="L332" s="7" t="str">
        <f t="shared" si="53"/>
        <v>OK</v>
      </c>
      <c r="M332" s="7" t="str">
        <f t="shared" si="53"/>
        <v>OK</v>
      </c>
      <c r="N332" s="7" t="str">
        <f t="shared" si="53"/>
        <v>OK</v>
      </c>
      <c r="O332" s="7" t="str">
        <f t="shared" si="53"/>
        <v>OK</v>
      </c>
      <c r="P332" s="7" t="str">
        <f t="shared" si="53"/>
        <v>OK</v>
      </c>
      <c r="Q332" s="7" t="str">
        <f t="shared" si="53"/>
        <v>OK</v>
      </c>
      <c r="R332" s="7" t="str">
        <f t="shared" si="53"/>
        <v>OK</v>
      </c>
      <c r="S332" s="7" t="str">
        <f t="shared" si="53"/>
        <v>OK</v>
      </c>
    </row>
    <row r="333" spans="1:19" x14ac:dyDescent="0.2">
      <c r="A333" s="31" t="s">
        <v>31</v>
      </c>
    </row>
    <row r="334" spans="1:19" x14ac:dyDescent="0.2">
      <c r="A334" s="3" t="s">
        <v>515</v>
      </c>
      <c r="F334" s="21">
        <v>1.1759999999999999</v>
      </c>
      <c r="G334" s="21">
        <v>1.2010000000000001</v>
      </c>
      <c r="H334" s="21">
        <v>1.35</v>
      </c>
      <c r="I334" s="21">
        <v>1.5249999999999999</v>
      </c>
      <c r="J334" s="21">
        <v>1.5640000000000001</v>
      </c>
      <c r="K334" s="21">
        <v>1.5860000000000001</v>
      </c>
      <c r="L334" s="21">
        <v>1.4810000000000001</v>
      </c>
      <c r="M334" s="21">
        <v>1.512</v>
      </c>
      <c r="N334" s="21">
        <v>1.518</v>
      </c>
      <c r="O334" s="24">
        <v>1.595</v>
      </c>
      <c r="P334" s="24">
        <v>1.629</v>
      </c>
      <c r="Q334" s="24">
        <v>1.641</v>
      </c>
      <c r="R334" s="24">
        <v>1.649</v>
      </c>
      <c r="S334" s="24">
        <v>1.6910000000000001</v>
      </c>
    </row>
    <row r="335" spans="1:19" x14ac:dyDescent="0.2">
      <c r="A335" s="3" t="s">
        <v>516</v>
      </c>
      <c r="F335" s="21">
        <v>-0.48799999999999999</v>
      </c>
      <c r="G335" s="21">
        <v>-0.48699999999999999</v>
      </c>
      <c r="H335" s="21">
        <v>-0.53200000000000003</v>
      </c>
      <c r="I335" s="21">
        <v>-0.72799999999999998</v>
      </c>
      <c r="J335" s="21">
        <v>-0.71299999999999997</v>
      </c>
      <c r="K335" s="21">
        <v>-0.70099999999999996</v>
      </c>
      <c r="L335" s="21">
        <v>-0.53600000000000003</v>
      </c>
      <c r="M335" s="21">
        <v>-0.63</v>
      </c>
      <c r="N335" s="21">
        <v>-0.60199999999999998</v>
      </c>
      <c r="O335" s="24">
        <v>-0.67700000000000005</v>
      </c>
      <c r="P335" s="24">
        <v>-0.68500000000000005</v>
      </c>
      <c r="Q335" s="24">
        <v>-0.69</v>
      </c>
      <c r="R335" s="24">
        <v>-0.69299999999999995</v>
      </c>
      <c r="S335" s="24">
        <v>-0.71099999999999997</v>
      </c>
    </row>
    <row r="336" spans="1:19" x14ac:dyDescent="0.2">
      <c r="A336" s="3" t="s">
        <v>517</v>
      </c>
      <c r="F336" s="21">
        <v>-0.55500000000000005</v>
      </c>
      <c r="G336" s="21">
        <v>-0.629</v>
      </c>
      <c r="H336" s="21">
        <v>-0.71</v>
      </c>
      <c r="I336" s="21">
        <v>-0.754</v>
      </c>
      <c r="J336" s="21">
        <v>-0.80200000000000005</v>
      </c>
      <c r="K336" s="21">
        <v>-0.877</v>
      </c>
      <c r="L336" s="21">
        <v>-1.054</v>
      </c>
      <c r="M336" s="21">
        <v>-1.032</v>
      </c>
      <c r="N336" s="21">
        <v>-1.1140000000000001</v>
      </c>
      <c r="O336" s="24">
        <v>-1.171</v>
      </c>
      <c r="P336" s="24">
        <v>-1.2490000000000001</v>
      </c>
      <c r="Q336" s="24">
        <v>-1.31</v>
      </c>
      <c r="R336" s="24">
        <v>-1.395</v>
      </c>
      <c r="S336" s="24">
        <v>-1.4490000000000001</v>
      </c>
    </row>
    <row r="337" spans="1:19" x14ac:dyDescent="0.2">
      <c r="A337" s="3" t="s">
        <v>518</v>
      </c>
      <c r="F337" s="21">
        <v>0.36</v>
      </c>
      <c r="G337" s="21">
        <v>0.40699999999999997</v>
      </c>
      <c r="H337" s="21">
        <v>0.46500000000000002</v>
      </c>
      <c r="I337" s="21">
        <v>0.46300000000000002</v>
      </c>
      <c r="J337" s="21">
        <v>0.48399999999999999</v>
      </c>
      <c r="K337" s="21">
        <v>0.52600000000000002</v>
      </c>
      <c r="L337" s="21">
        <v>0.59</v>
      </c>
      <c r="M337" s="21">
        <v>0.57899999999999996</v>
      </c>
      <c r="N337" s="21">
        <v>0.60399999999999998</v>
      </c>
      <c r="O337" s="24">
        <v>0.59599999999999997</v>
      </c>
      <c r="P337" s="24">
        <v>0.60899999999999999</v>
      </c>
      <c r="Q337" s="24">
        <v>0.622</v>
      </c>
      <c r="R337" s="24">
        <v>0.629</v>
      </c>
      <c r="S337" s="24">
        <v>0.63500000000000001</v>
      </c>
    </row>
    <row r="338" spans="1:19" x14ac:dyDescent="0.2">
      <c r="A338" s="3" t="s">
        <v>519</v>
      </c>
      <c r="F338" s="21">
        <v>-0.151</v>
      </c>
      <c r="G338" s="21">
        <v>0.23100000000000001</v>
      </c>
      <c r="H338" s="21">
        <v>-0.77900000000000003</v>
      </c>
      <c r="I338" s="21">
        <v>-0.28000000000000003</v>
      </c>
      <c r="J338" s="21">
        <v>0.125</v>
      </c>
      <c r="K338" s="21">
        <v>0.28599999999999998</v>
      </c>
      <c r="L338" s="21">
        <v>-0.48399999999999999</v>
      </c>
      <c r="M338" s="21">
        <v>-1.2E-2</v>
      </c>
      <c r="N338" s="21">
        <v>-0.26900000000000002</v>
      </c>
      <c r="O338" s="24">
        <v>-0.1</v>
      </c>
      <c r="P338" s="24">
        <v>-0.1</v>
      </c>
      <c r="Q338" s="24">
        <v>-0.1</v>
      </c>
      <c r="R338" s="24">
        <v>-0.1</v>
      </c>
      <c r="S338" s="24">
        <v>-0.1</v>
      </c>
    </row>
    <row r="339" spans="1:19" x14ac:dyDescent="0.2">
      <c r="A339" s="3" t="s">
        <v>135</v>
      </c>
      <c r="F339" s="21">
        <v>0.1</v>
      </c>
      <c r="G339" s="21">
        <v>7.0000000000000001E-3</v>
      </c>
      <c r="H339" s="21">
        <v>1.7999999999999999E-2</v>
      </c>
      <c r="I339" s="21">
        <v>1.0999999999999999E-2</v>
      </c>
      <c r="J339" s="21">
        <v>1.2E-2</v>
      </c>
      <c r="K339" s="21">
        <v>1.0999999999999999E-2</v>
      </c>
      <c r="L339" s="21">
        <v>0</v>
      </c>
      <c r="M339" s="21">
        <v>1.0999999999999999E-2</v>
      </c>
      <c r="N339" s="21">
        <v>1.0999999999999999E-2</v>
      </c>
      <c r="O339" s="24">
        <v>1.0999999999999999E-2</v>
      </c>
      <c r="P339" s="24">
        <v>1.0999999999999999E-2</v>
      </c>
      <c r="Q339" s="24">
        <v>1.0999999999999999E-2</v>
      </c>
      <c r="R339" s="24">
        <v>0.01</v>
      </c>
      <c r="S339" s="24">
        <v>0.01</v>
      </c>
    </row>
    <row r="340" spans="1:19" x14ac:dyDescent="0.2">
      <c r="A340" s="31" t="s">
        <v>520</v>
      </c>
      <c r="E340" s="67">
        <v>5.569</v>
      </c>
      <c r="F340" s="54">
        <f>SUM(E$340,F$334:F$339)</f>
        <v>6.0110000000000001</v>
      </c>
      <c r="G340" s="54">
        <f t="shared" ref="G340:S340" si="54">SUM(F$340,G$334:G$339)</f>
        <v>6.7409999999999997</v>
      </c>
      <c r="H340" s="54">
        <f t="shared" si="54"/>
        <v>6.552999999999999</v>
      </c>
      <c r="I340" s="54">
        <f t="shared" si="54"/>
        <v>6.79</v>
      </c>
      <c r="J340" s="54">
        <f t="shared" si="54"/>
        <v>7.4599999999999982</v>
      </c>
      <c r="K340" s="54">
        <f t="shared" si="54"/>
        <v>8.2909999999999968</v>
      </c>
      <c r="L340" s="54">
        <f t="shared" si="54"/>
        <v>8.2879999999999967</v>
      </c>
      <c r="M340" s="54">
        <f t="shared" si="54"/>
        <v>8.7159999999999958</v>
      </c>
      <c r="N340" s="54">
        <f t="shared" si="54"/>
        <v>8.8639999999999937</v>
      </c>
      <c r="O340" s="54">
        <f t="shared" si="54"/>
        <v>9.117999999999995</v>
      </c>
      <c r="P340" s="54">
        <f t="shared" si="54"/>
        <v>9.3329999999999931</v>
      </c>
      <c r="Q340" s="54">
        <f t="shared" si="54"/>
        <v>9.5069999999999926</v>
      </c>
      <c r="R340" s="54">
        <f t="shared" si="54"/>
        <v>9.6069999999999922</v>
      </c>
      <c r="S340" s="54">
        <f t="shared" si="54"/>
        <v>9.6829999999999927</v>
      </c>
    </row>
    <row r="341" spans="1:19" x14ac:dyDescent="0.2">
      <c r="A341" s="2" t="s">
        <v>631</v>
      </c>
      <c r="E341" s="72"/>
      <c r="F341" s="7" t="str">
        <f t="shared" ref="F341:S341" si="55">IF(ROUND(F$308-F$340,3)=0,"OK","ERROR")</f>
        <v>OK</v>
      </c>
      <c r="G341" s="7" t="str">
        <f t="shared" si="55"/>
        <v>OK</v>
      </c>
      <c r="H341" s="7" t="str">
        <f t="shared" si="55"/>
        <v>OK</v>
      </c>
      <c r="I341" s="7" t="str">
        <f t="shared" si="55"/>
        <v>OK</v>
      </c>
      <c r="J341" s="7" t="str">
        <f t="shared" si="55"/>
        <v>OK</v>
      </c>
      <c r="K341" s="7" t="str">
        <f t="shared" si="55"/>
        <v>OK</v>
      </c>
      <c r="L341" s="7" t="str">
        <f t="shared" si="55"/>
        <v>OK</v>
      </c>
      <c r="M341" s="7" t="str">
        <f t="shared" si="55"/>
        <v>OK</v>
      </c>
      <c r="N341" s="7" t="str">
        <f t="shared" si="55"/>
        <v>OK</v>
      </c>
      <c r="O341" s="7" t="str">
        <f t="shared" si="55"/>
        <v>OK</v>
      </c>
      <c r="P341" s="7" t="str">
        <f t="shared" si="55"/>
        <v>OK</v>
      </c>
      <c r="Q341" s="7" t="str">
        <f t="shared" si="55"/>
        <v>OK</v>
      </c>
      <c r="R341" s="7" t="str">
        <f t="shared" si="55"/>
        <v>OK</v>
      </c>
      <c r="S341" s="7" t="str">
        <f t="shared" si="55"/>
        <v>OK</v>
      </c>
    </row>
    <row r="342" spans="1:19" x14ac:dyDescent="0.2">
      <c r="A342" s="31" t="s">
        <v>351</v>
      </c>
    </row>
    <row r="343" spans="1:19" x14ac:dyDescent="0.2">
      <c r="A343" s="3" t="s">
        <v>412</v>
      </c>
      <c r="F343" s="21">
        <v>26.215</v>
      </c>
      <c r="G343" s="21">
        <v>28.637</v>
      </c>
      <c r="H343" s="21">
        <v>30.486999999999998</v>
      </c>
      <c r="I343" s="21">
        <v>29.986000000000001</v>
      </c>
      <c r="J343" s="21">
        <v>29.548999999999999</v>
      </c>
      <c r="K343" s="21">
        <v>29.376999999999999</v>
      </c>
      <c r="L343" s="21">
        <v>29.507000000000001</v>
      </c>
      <c r="M343" s="21">
        <v>30.963000000000001</v>
      </c>
      <c r="N343" s="21">
        <v>32.289000000000001</v>
      </c>
      <c r="O343" s="24">
        <v>33.795000000000002</v>
      </c>
      <c r="P343" s="24">
        <v>35.167000000000002</v>
      </c>
      <c r="Q343" s="24">
        <v>35.536999999999999</v>
      </c>
      <c r="R343" s="24">
        <v>35.704000000000001</v>
      </c>
      <c r="S343" s="24">
        <v>35.847999999999999</v>
      </c>
    </row>
    <row r="344" spans="1:19" x14ac:dyDescent="0.2">
      <c r="A344" s="3" t="s">
        <v>413</v>
      </c>
      <c r="F344" s="21">
        <v>41.295999999999999</v>
      </c>
      <c r="G344" s="21">
        <v>43.658999999999999</v>
      </c>
      <c r="H344" s="21">
        <v>46.552999999999997</v>
      </c>
      <c r="I344" s="21">
        <v>48.109000000000002</v>
      </c>
      <c r="J344" s="21">
        <v>48.48</v>
      </c>
      <c r="K344" s="21">
        <v>49.939</v>
      </c>
      <c r="L344" s="21">
        <v>51.823</v>
      </c>
      <c r="M344" s="21">
        <v>56.802</v>
      </c>
      <c r="N344" s="21">
        <v>61.417000000000002</v>
      </c>
      <c r="O344" s="24">
        <v>63.587000000000003</v>
      </c>
      <c r="P344" s="24">
        <v>65.304000000000002</v>
      </c>
      <c r="Q344" s="24">
        <v>66.893000000000001</v>
      </c>
      <c r="R344" s="24">
        <v>68.456000000000003</v>
      </c>
      <c r="S344" s="24">
        <v>69.468000000000004</v>
      </c>
    </row>
    <row r="345" spans="1:19" x14ac:dyDescent="0.2">
      <c r="A345" s="3" t="s">
        <v>414</v>
      </c>
      <c r="F345" s="21">
        <v>28.087</v>
      </c>
      <c r="G345" s="21">
        <v>31.033000000000001</v>
      </c>
      <c r="H345" s="21">
        <v>33.094999999999999</v>
      </c>
      <c r="I345" s="21">
        <v>35.234999999999999</v>
      </c>
      <c r="J345" s="21">
        <v>36.825000000000003</v>
      </c>
      <c r="K345" s="21">
        <v>29.268000000000001</v>
      </c>
      <c r="L345" s="21">
        <v>28.503</v>
      </c>
      <c r="M345" s="21">
        <v>28.541</v>
      </c>
      <c r="N345" s="21">
        <v>30.852</v>
      </c>
      <c r="O345" s="24">
        <v>31.09</v>
      </c>
      <c r="P345" s="24">
        <v>31.443999999999999</v>
      </c>
      <c r="Q345" s="24">
        <v>31.658000000000001</v>
      </c>
      <c r="R345" s="24">
        <v>31.635999999999999</v>
      </c>
      <c r="S345" s="24">
        <v>31.233000000000001</v>
      </c>
    </row>
    <row r="346" spans="1:19" x14ac:dyDescent="0.2">
      <c r="A346" s="3" t="s">
        <v>415</v>
      </c>
      <c r="F346" s="21">
        <v>0</v>
      </c>
      <c r="G346" s="21">
        <v>0</v>
      </c>
      <c r="H346" s="21">
        <v>0</v>
      </c>
      <c r="I346" s="21">
        <v>0</v>
      </c>
      <c r="J346" s="21">
        <v>0</v>
      </c>
      <c r="K346" s="21">
        <v>0</v>
      </c>
      <c r="L346" s="21">
        <v>0</v>
      </c>
      <c r="M346" s="21">
        <v>0</v>
      </c>
      <c r="N346" s="21">
        <v>0</v>
      </c>
      <c r="O346" s="24">
        <v>0</v>
      </c>
      <c r="P346" s="24">
        <v>0</v>
      </c>
      <c r="Q346" s="24">
        <v>0</v>
      </c>
      <c r="R346" s="24">
        <v>0</v>
      </c>
      <c r="S346" s="24">
        <v>0</v>
      </c>
    </row>
    <row r="347" spans="1:19" x14ac:dyDescent="0.2">
      <c r="A347" s="2" t="s">
        <v>632</v>
      </c>
      <c r="F347" s="7" t="str">
        <f t="shared" ref="F347:S347" si="56">IF(ROUND(F$120-SUM(F$343:F$346),3)=0,"OK","ERROR")</f>
        <v>OK</v>
      </c>
      <c r="G347" s="7" t="str">
        <f t="shared" si="56"/>
        <v>OK</v>
      </c>
      <c r="H347" s="7" t="str">
        <f t="shared" si="56"/>
        <v>OK</v>
      </c>
      <c r="I347" s="7" t="str">
        <f t="shared" si="56"/>
        <v>OK</v>
      </c>
      <c r="J347" s="7" t="str">
        <f t="shared" si="56"/>
        <v>OK</v>
      </c>
      <c r="K347" s="7" t="str">
        <f t="shared" si="56"/>
        <v>OK</v>
      </c>
      <c r="L347" s="7" t="str">
        <f t="shared" si="56"/>
        <v>OK</v>
      </c>
      <c r="M347" s="7" t="str">
        <f t="shared" si="56"/>
        <v>OK</v>
      </c>
      <c r="N347" s="7" t="str">
        <f t="shared" si="56"/>
        <v>OK</v>
      </c>
      <c r="O347" s="7" t="str">
        <f t="shared" si="56"/>
        <v>OK</v>
      </c>
      <c r="P347" s="7" t="str">
        <f t="shared" si="56"/>
        <v>OK</v>
      </c>
      <c r="Q347" s="7" t="str">
        <f t="shared" si="56"/>
        <v>OK</v>
      </c>
      <c r="R347" s="7" t="str">
        <f t="shared" si="56"/>
        <v>OK</v>
      </c>
      <c r="S347" s="7" t="str">
        <f t="shared" si="56"/>
        <v>OK</v>
      </c>
    </row>
    <row r="348" spans="1:19" x14ac:dyDescent="0.2">
      <c r="A348" s="2" t="s">
        <v>633</v>
      </c>
      <c r="F348" s="7"/>
      <c r="G348" s="7"/>
      <c r="H348" s="7"/>
      <c r="I348" s="7"/>
      <c r="J348" s="7"/>
      <c r="K348" s="7"/>
      <c r="L348" s="7"/>
      <c r="M348" s="7"/>
      <c r="N348" s="7"/>
      <c r="O348" s="7"/>
      <c r="P348" s="7"/>
      <c r="Q348" s="7"/>
      <c r="R348" s="7"/>
      <c r="S348" s="7"/>
    </row>
    <row r="349" spans="1:19" x14ac:dyDescent="0.2">
      <c r="A349" s="3" t="s">
        <v>634</v>
      </c>
      <c r="F349" s="21">
        <v>5.2149999999999999</v>
      </c>
      <c r="G349" s="21">
        <v>5.226</v>
      </c>
      <c r="H349" s="21">
        <v>6.5039999999999996</v>
      </c>
      <c r="I349" s="21">
        <v>6.5549999999999997</v>
      </c>
      <c r="J349" s="21">
        <v>6.6440000000000001</v>
      </c>
      <c r="K349" s="21">
        <v>6.5140000000000002</v>
      </c>
      <c r="L349" s="21">
        <v>5.7789999999999999</v>
      </c>
      <c r="M349" s="21">
        <v>6.6719999999999997</v>
      </c>
      <c r="N349" s="21">
        <v>7.2290000000000001</v>
      </c>
      <c r="O349" s="24">
        <v>8.5909999999999993</v>
      </c>
      <c r="P349" s="24">
        <v>8.5869999999999997</v>
      </c>
      <c r="Q349" s="24">
        <v>7.4880000000000004</v>
      </c>
      <c r="R349" s="24">
        <v>7.0019999999999998</v>
      </c>
      <c r="S349" s="24">
        <v>6.1959999999999997</v>
      </c>
    </row>
    <row r="350" spans="1:19" x14ac:dyDescent="0.2">
      <c r="A350" s="3" t="s">
        <v>635</v>
      </c>
      <c r="F350" s="21">
        <v>-0.72099999999999997</v>
      </c>
      <c r="G350" s="21">
        <v>-0.67700000000000005</v>
      </c>
      <c r="H350" s="21">
        <v>-1.468</v>
      </c>
      <c r="I350" s="21">
        <v>-0.97699999999999998</v>
      </c>
      <c r="J350" s="21">
        <v>-1.2829999999999999</v>
      </c>
      <c r="K350" s="21">
        <v>-0.94099999999999995</v>
      </c>
      <c r="L350" s="21">
        <v>-1.4710000000000001</v>
      </c>
      <c r="M350" s="21">
        <v>-1.4319999999999999</v>
      </c>
      <c r="N350" s="21">
        <v>-1.2110000000000001</v>
      </c>
      <c r="O350" s="24">
        <v>-0.59599999999999997</v>
      </c>
      <c r="P350" s="24">
        <v>-1.242</v>
      </c>
      <c r="Q350" s="24">
        <v>-0.97399999999999998</v>
      </c>
      <c r="R350" s="24">
        <v>-0.60899999999999999</v>
      </c>
      <c r="S350" s="24">
        <v>-0.71</v>
      </c>
    </row>
    <row r="351" spans="1:19" x14ac:dyDescent="0.2">
      <c r="A351" s="3" t="s">
        <v>636</v>
      </c>
      <c r="F351" s="21">
        <v>3.323</v>
      </c>
      <c r="G351" s="21">
        <v>4.12</v>
      </c>
      <c r="H351" s="21">
        <v>1.704</v>
      </c>
      <c r="I351" s="21">
        <v>-1.143</v>
      </c>
      <c r="J351" s="21">
        <v>-2.4710000000000001</v>
      </c>
      <c r="K351" s="21">
        <v>-9.7929999999999993</v>
      </c>
      <c r="L351" s="21">
        <v>-2.0470000000000002</v>
      </c>
      <c r="M351" s="21">
        <v>2.145</v>
      </c>
      <c r="N351" s="21">
        <v>3.0640000000000001</v>
      </c>
      <c r="O351" s="24">
        <v>0.08</v>
      </c>
      <c r="P351" s="24">
        <v>0</v>
      </c>
      <c r="Q351" s="24">
        <v>0</v>
      </c>
      <c r="R351" s="24">
        <v>0</v>
      </c>
      <c r="S351" s="24">
        <v>0</v>
      </c>
    </row>
    <row r="352" spans="1:19" x14ac:dyDescent="0.2">
      <c r="A352" s="3" t="s">
        <v>637</v>
      </c>
      <c r="F352" s="21">
        <v>-0.152</v>
      </c>
      <c r="G352" s="21">
        <v>-2.8000000000000001E-2</v>
      </c>
      <c r="H352" s="21">
        <v>0.379</v>
      </c>
      <c r="I352" s="21">
        <v>-4.1000000000000002E-2</v>
      </c>
      <c r="J352" s="21">
        <v>-0.23</v>
      </c>
      <c r="K352" s="21">
        <v>-0.66400000000000003</v>
      </c>
      <c r="L352" s="21">
        <v>-1.1819999999999999</v>
      </c>
      <c r="M352" s="21">
        <v>-0.73199999999999998</v>
      </c>
      <c r="N352" s="21">
        <v>0.15</v>
      </c>
      <c r="O352" s="24">
        <v>-0.03</v>
      </c>
      <c r="P352" s="24">
        <v>-7.5999999999999998E-2</v>
      </c>
      <c r="Q352" s="24">
        <v>-3.9E-2</v>
      </c>
      <c r="R352" s="24">
        <v>8.9999999999999993E-3</v>
      </c>
      <c r="S352" s="24">
        <v>2.3E-2</v>
      </c>
    </row>
    <row r="353" spans="1:19" x14ac:dyDescent="0.2">
      <c r="A353" s="2" t="s">
        <v>638</v>
      </c>
      <c r="E353" s="67">
        <v>96.122</v>
      </c>
      <c r="F353" s="54">
        <f>SUM(E$353,F$349:F$352)</f>
        <v>103.78699999999999</v>
      </c>
      <c r="G353" s="54">
        <f t="shared" ref="G353:S353" si="57">SUM(F$353,G$349:G$352)</f>
        <v>112.42799999999998</v>
      </c>
      <c r="H353" s="54">
        <f t="shared" si="57"/>
        <v>119.54699999999998</v>
      </c>
      <c r="I353" s="54">
        <f t="shared" si="57"/>
        <v>123.94099999999997</v>
      </c>
      <c r="J353" s="54">
        <f t="shared" si="57"/>
        <v>126.60099999999998</v>
      </c>
      <c r="K353" s="54">
        <f t="shared" si="57"/>
        <v>121.71699999999997</v>
      </c>
      <c r="L353" s="54">
        <f t="shared" si="57"/>
        <v>122.79599999999996</v>
      </c>
      <c r="M353" s="54">
        <f t="shared" si="57"/>
        <v>129.44899999999998</v>
      </c>
      <c r="N353" s="54">
        <f t="shared" si="57"/>
        <v>138.68099999999998</v>
      </c>
      <c r="O353" s="54">
        <f t="shared" si="57"/>
        <v>146.726</v>
      </c>
      <c r="P353" s="54">
        <f t="shared" si="57"/>
        <v>153.995</v>
      </c>
      <c r="Q353" s="54">
        <f t="shared" si="57"/>
        <v>160.47000000000003</v>
      </c>
      <c r="R353" s="54">
        <f t="shared" si="57"/>
        <v>166.87200000000001</v>
      </c>
      <c r="S353" s="54">
        <f t="shared" si="57"/>
        <v>172.381</v>
      </c>
    </row>
    <row r="354" spans="1:19" x14ac:dyDescent="0.2">
      <c r="A354" s="3" t="s">
        <v>639</v>
      </c>
      <c r="F354" s="21">
        <v>-0.38700000000000001</v>
      </c>
      <c r="G354" s="21">
        <v>-0.373</v>
      </c>
      <c r="H354" s="21">
        <v>-0.67600000000000005</v>
      </c>
      <c r="I354" s="21">
        <v>-0.58699999999999997</v>
      </c>
      <c r="J354" s="21">
        <v>-0.83199999999999996</v>
      </c>
      <c r="K354" s="21">
        <v>-0.63400000000000001</v>
      </c>
      <c r="L354" s="21">
        <v>-0.65900000000000003</v>
      </c>
      <c r="M354" s="21">
        <v>-0.81299999999999994</v>
      </c>
      <c r="N354" s="21">
        <v>-0.65500000000000003</v>
      </c>
      <c r="O354" s="24">
        <v>-0.157</v>
      </c>
      <c r="P354" s="24">
        <v>-0.61099999999999999</v>
      </c>
      <c r="Q354" s="24">
        <v>-0.314</v>
      </c>
      <c r="R354" s="24">
        <v>-5.1999999999999998E-2</v>
      </c>
      <c r="S354" s="24">
        <v>-0.06</v>
      </c>
    </row>
    <row r="355" spans="1:19" x14ac:dyDescent="0.2">
      <c r="A355" s="3" t="s">
        <v>640</v>
      </c>
      <c r="F355" s="21">
        <v>-1.0409999999999999</v>
      </c>
      <c r="G355" s="21">
        <v>-1.68</v>
      </c>
      <c r="H355" s="21">
        <v>-2.3330000000000002</v>
      </c>
      <c r="I355" s="21">
        <v>-1.349</v>
      </c>
      <c r="J355" s="21">
        <v>-1.8839999999999999</v>
      </c>
      <c r="K355" s="21">
        <v>-3.415</v>
      </c>
      <c r="L355" s="21">
        <v>-3.5870000000000002</v>
      </c>
      <c r="M355" s="21">
        <v>-3.0259999999999998</v>
      </c>
      <c r="N355" s="21">
        <v>-2.1589999999999998</v>
      </c>
      <c r="O355" s="24">
        <v>0</v>
      </c>
      <c r="P355" s="24">
        <v>0</v>
      </c>
      <c r="Q355" s="24">
        <v>0</v>
      </c>
      <c r="R355" s="24">
        <v>0</v>
      </c>
      <c r="S355" s="24">
        <v>0</v>
      </c>
    </row>
    <row r="356" spans="1:19" x14ac:dyDescent="0.2">
      <c r="A356" s="3" t="s">
        <v>641</v>
      </c>
      <c r="F356" s="21">
        <v>-5.0000000000000001E-3</v>
      </c>
      <c r="G356" s="21">
        <v>-8.0000000000000002E-3</v>
      </c>
      <c r="H356" s="21">
        <v>4.2000000000000003E-2</v>
      </c>
      <c r="I356" s="21">
        <v>0</v>
      </c>
      <c r="J356" s="21">
        <v>0</v>
      </c>
      <c r="K356" s="21">
        <v>1.8839999999999999</v>
      </c>
      <c r="L356" s="21">
        <v>0.47299999999999998</v>
      </c>
      <c r="M356" s="21">
        <v>0.34599999999999997</v>
      </c>
      <c r="N356" s="21">
        <v>7.8E-2</v>
      </c>
      <c r="O356" s="24">
        <v>0</v>
      </c>
      <c r="P356" s="24">
        <v>0</v>
      </c>
      <c r="Q356" s="24">
        <v>0</v>
      </c>
      <c r="R356" s="24">
        <v>0</v>
      </c>
      <c r="S356" s="24">
        <v>0</v>
      </c>
    </row>
    <row r="357" spans="1:19" x14ac:dyDescent="0.2">
      <c r="A357" s="3" t="s">
        <v>642</v>
      </c>
      <c r="F357" s="21">
        <v>2.911</v>
      </c>
      <c r="G357" s="21">
        <v>3.0739999999999998</v>
      </c>
      <c r="H357" s="21">
        <v>3.44</v>
      </c>
      <c r="I357" s="21">
        <v>3.5819999999999999</v>
      </c>
      <c r="J357" s="21">
        <v>3.7269999999999999</v>
      </c>
      <c r="K357" s="21">
        <v>3.8029999999999999</v>
      </c>
      <c r="L357" s="21">
        <v>3.6970000000000001</v>
      </c>
      <c r="M357" s="21">
        <v>3.8050000000000002</v>
      </c>
      <c r="N357" s="21">
        <v>3.8730000000000002</v>
      </c>
      <c r="O357" s="24">
        <v>4.2910000000000004</v>
      </c>
      <c r="P357" s="24">
        <v>4.45</v>
      </c>
      <c r="Q357" s="24">
        <v>4.6269999999999998</v>
      </c>
      <c r="R357" s="24">
        <v>4.7510000000000003</v>
      </c>
      <c r="S357" s="24">
        <v>4.8179999999999996</v>
      </c>
    </row>
    <row r="358" spans="1:19" x14ac:dyDescent="0.2">
      <c r="A358" s="3" t="s">
        <v>637</v>
      </c>
      <c r="F358" s="21">
        <v>-0.28799999999999998</v>
      </c>
      <c r="G358" s="21">
        <v>-0.10299999999999999</v>
      </c>
      <c r="H358" s="21">
        <v>-0.16</v>
      </c>
      <c r="I358" s="21">
        <v>-0.44700000000000001</v>
      </c>
      <c r="J358" s="21">
        <v>0.125</v>
      </c>
      <c r="K358" s="21">
        <v>-0.252</v>
      </c>
      <c r="L358" s="21">
        <v>-9.4E-2</v>
      </c>
      <c r="M358" s="21">
        <v>-0.13200000000000001</v>
      </c>
      <c r="N358" s="21">
        <v>-0.157</v>
      </c>
      <c r="O358" s="24">
        <v>-3.0000000000000001E-3</v>
      </c>
      <c r="P358" s="24">
        <v>-1.2999999999999999E-2</v>
      </c>
      <c r="Q358" s="24">
        <v>-1.0999999999999999E-2</v>
      </c>
      <c r="R358" s="24">
        <v>-5.0000000000000001E-3</v>
      </c>
      <c r="S358" s="24">
        <v>-2E-3</v>
      </c>
    </row>
    <row r="359" spans="1:19" x14ac:dyDescent="0.2">
      <c r="A359" s="2" t="s">
        <v>643</v>
      </c>
      <c r="E359" s="67">
        <v>6.9989999999999997</v>
      </c>
      <c r="F359" s="54">
        <f>SUM(E$359,F$354:F$358)</f>
        <v>8.1890000000000001</v>
      </c>
      <c r="G359" s="54">
        <f t="shared" ref="G359:S359" si="58">SUM(F$359,G$354:G$358)</f>
        <v>9.0990000000000002</v>
      </c>
      <c r="H359" s="54">
        <f t="shared" si="58"/>
        <v>9.411999999999999</v>
      </c>
      <c r="I359" s="54">
        <f t="shared" si="58"/>
        <v>10.611000000000001</v>
      </c>
      <c r="J359" s="54">
        <f t="shared" si="58"/>
        <v>11.747</v>
      </c>
      <c r="K359" s="54">
        <f t="shared" si="58"/>
        <v>13.132999999999997</v>
      </c>
      <c r="L359" s="54">
        <f t="shared" si="58"/>
        <v>12.962999999999999</v>
      </c>
      <c r="M359" s="54">
        <f t="shared" si="58"/>
        <v>13.142999999999999</v>
      </c>
      <c r="N359" s="54">
        <f t="shared" si="58"/>
        <v>14.123000000000001</v>
      </c>
      <c r="O359" s="54">
        <f t="shared" si="58"/>
        <v>18.254000000000001</v>
      </c>
      <c r="P359" s="54">
        <f t="shared" si="58"/>
        <v>22.08</v>
      </c>
      <c r="Q359" s="54">
        <f t="shared" si="58"/>
        <v>26.381999999999998</v>
      </c>
      <c r="R359" s="54">
        <f t="shared" si="58"/>
        <v>31.076000000000001</v>
      </c>
      <c r="S359" s="54">
        <f t="shared" si="58"/>
        <v>35.832000000000001</v>
      </c>
    </row>
    <row r="360" spans="1:19" x14ac:dyDescent="0.2">
      <c r="A360" s="2" t="s">
        <v>644</v>
      </c>
      <c r="F360" s="7" t="str">
        <f t="shared" ref="F360:S360" si="59">IF(ROUND(F$120-(F$353-F$359),3)=0,"OK","ERROR")</f>
        <v>OK</v>
      </c>
      <c r="G360" s="7" t="str">
        <f t="shared" si="59"/>
        <v>OK</v>
      </c>
      <c r="H360" s="7" t="str">
        <f t="shared" si="59"/>
        <v>OK</v>
      </c>
      <c r="I360" s="7" t="str">
        <f t="shared" si="59"/>
        <v>OK</v>
      </c>
      <c r="J360" s="7" t="str">
        <f t="shared" si="59"/>
        <v>OK</v>
      </c>
      <c r="K360" s="7" t="str">
        <f t="shared" si="59"/>
        <v>OK</v>
      </c>
      <c r="L360" s="7" t="str">
        <f t="shared" si="59"/>
        <v>OK</v>
      </c>
      <c r="M360" s="7" t="str">
        <f t="shared" si="59"/>
        <v>OK</v>
      </c>
      <c r="N360" s="7" t="str">
        <f t="shared" si="59"/>
        <v>OK</v>
      </c>
      <c r="O360" s="7" t="str">
        <f t="shared" si="59"/>
        <v>OK</v>
      </c>
      <c r="P360" s="7" t="str">
        <f t="shared" si="59"/>
        <v>OK</v>
      </c>
      <c r="Q360" s="7" t="str">
        <f t="shared" si="59"/>
        <v>OK</v>
      </c>
      <c r="R360" s="7" t="str">
        <f t="shared" si="59"/>
        <v>OK</v>
      </c>
      <c r="S360" s="7" t="str">
        <f t="shared" si="59"/>
        <v>OK</v>
      </c>
    </row>
    <row r="361" spans="1:19" x14ac:dyDescent="0.2">
      <c r="A361" s="31" t="s">
        <v>311</v>
      </c>
    </row>
    <row r="362" spans="1:19" x14ac:dyDescent="0.2">
      <c r="A362" s="3" t="s">
        <v>412</v>
      </c>
      <c r="F362" s="21">
        <v>0.80400000000000005</v>
      </c>
      <c r="G362" s="21">
        <v>0.84499999999999997</v>
      </c>
      <c r="H362" s="21">
        <v>1.135</v>
      </c>
      <c r="I362" s="21">
        <v>1.1220000000000001</v>
      </c>
      <c r="J362" s="21">
        <v>1.157</v>
      </c>
      <c r="K362" s="21">
        <v>1.1120000000000001</v>
      </c>
      <c r="L362" s="21">
        <v>1.0409999999999999</v>
      </c>
      <c r="M362" s="21">
        <v>1.1839999999999999</v>
      </c>
      <c r="N362" s="21">
        <v>1.2390000000000001</v>
      </c>
      <c r="O362" s="24">
        <v>1.46</v>
      </c>
      <c r="P362" s="24">
        <v>1.5549999999999999</v>
      </c>
      <c r="Q362" s="24">
        <v>1.5509999999999999</v>
      </c>
      <c r="R362" s="24">
        <v>1.5549999999999999</v>
      </c>
      <c r="S362" s="24">
        <v>1.546</v>
      </c>
    </row>
    <row r="363" spans="1:19" x14ac:dyDescent="0.2">
      <c r="A363" s="3" t="s">
        <v>413</v>
      </c>
      <c r="F363" s="21">
        <v>0.377</v>
      </c>
      <c r="G363" s="21">
        <v>0.38600000000000001</v>
      </c>
      <c r="H363" s="21">
        <v>0.42499999999999999</v>
      </c>
      <c r="I363" s="21">
        <v>0.41699999999999998</v>
      </c>
      <c r="J363" s="21">
        <v>0.43</v>
      </c>
      <c r="K363" s="21">
        <v>0.49399999999999999</v>
      </c>
      <c r="L363" s="21">
        <v>0.57299999999999995</v>
      </c>
      <c r="M363" s="21">
        <v>0.54200000000000004</v>
      </c>
      <c r="N363" s="21">
        <v>0.60699999999999998</v>
      </c>
      <c r="O363" s="24">
        <v>0.65700000000000003</v>
      </c>
      <c r="P363" s="24">
        <v>0.72199999999999998</v>
      </c>
      <c r="Q363" s="24">
        <v>0.73399999999999999</v>
      </c>
      <c r="R363" s="24">
        <v>0.71899999999999997</v>
      </c>
      <c r="S363" s="24">
        <v>0.68200000000000005</v>
      </c>
    </row>
    <row r="364" spans="1:19" x14ac:dyDescent="0.2">
      <c r="A364" s="3" t="s">
        <v>414</v>
      </c>
      <c r="F364" s="21">
        <v>0.496</v>
      </c>
      <c r="G364" s="21">
        <v>0.52</v>
      </c>
      <c r="H364" s="21">
        <v>0.60799999999999998</v>
      </c>
      <c r="I364" s="21">
        <v>0.64500000000000002</v>
      </c>
      <c r="J364" s="21">
        <v>0.80700000000000005</v>
      </c>
      <c r="K364" s="21">
        <v>1.099</v>
      </c>
      <c r="L364" s="21">
        <v>1.1619999999999999</v>
      </c>
      <c r="M364" s="21">
        <v>1.194</v>
      </c>
      <c r="N364" s="21">
        <v>1.21</v>
      </c>
      <c r="O364" s="24">
        <v>1.2749999999999999</v>
      </c>
      <c r="P364" s="24">
        <v>1.288</v>
      </c>
      <c r="Q364" s="24">
        <v>1.2649999999999999</v>
      </c>
      <c r="R364" s="24">
        <v>1.2609999999999999</v>
      </c>
      <c r="S364" s="24">
        <v>1.2629999999999999</v>
      </c>
    </row>
    <row r="365" spans="1:19" x14ac:dyDescent="0.2">
      <c r="A365" s="3" t="s">
        <v>415</v>
      </c>
      <c r="F365" s="21">
        <v>0</v>
      </c>
      <c r="G365" s="21">
        <v>0</v>
      </c>
      <c r="H365" s="21">
        <v>0</v>
      </c>
      <c r="I365" s="21">
        <v>0</v>
      </c>
      <c r="J365" s="21">
        <v>0</v>
      </c>
      <c r="K365" s="21">
        <v>0</v>
      </c>
      <c r="L365" s="21">
        <v>0</v>
      </c>
      <c r="M365" s="21">
        <v>0</v>
      </c>
      <c r="N365" s="21">
        <v>0</v>
      </c>
      <c r="O365" s="24">
        <v>0</v>
      </c>
      <c r="P365" s="24">
        <v>0</v>
      </c>
      <c r="Q365" s="24">
        <v>0</v>
      </c>
      <c r="R365" s="24">
        <v>0</v>
      </c>
      <c r="S365" s="24">
        <v>0</v>
      </c>
    </row>
    <row r="366" spans="1:19" x14ac:dyDescent="0.2">
      <c r="A366" s="2" t="s">
        <v>651</v>
      </c>
      <c r="F366" s="7" t="str">
        <f t="shared" ref="F366:S366" si="60">IF(ROUND(F$122-SUM(F$362:F$365),3)=0,"OK","ERROR")</f>
        <v>OK</v>
      </c>
      <c r="G366" s="7" t="str">
        <f t="shared" si="60"/>
        <v>OK</v>
      </c>
      <c r="H366" s="7" t="str">
        <f t="shared" si="60"/>
        <v>OK</v>
      </c>
      <c r="I366" s="7" t="str">
        <f t="shared" si="60"/>
        <v>OK</v>
      </c>
      <c r="J366" s="7" t="str">
        <f t="shared" si="60"/>
        <v>OK</v>
      </c>
      <c r="K366" s="7" t="str">
        <f t="shared" si="60"/>
        <v>OK</v>
      </c>
      <c r="L366" s="7" t="str">
        <f t="shared" si="60"/>
        <v>OK</v>
      </c>
      <c r="M366" s="7" t="str">
        <f t="shared" si="60"/>
        <v>OK</v>
      </c>
      <c r="N366" s="7" t="str">
        <f t="shared" si="60"/>
        <v>OK</v>
      </c>
      <c r="O366" s="7" t="str">
        <f t="shared" si="60"/>
        <v>OK</v>
      </c>
      <c r="P366" s="7" t="str">
        <f t="shared" si="60"/>
        <v>OK</v>
      </c>
      <c r="Q366" s="7" t="str">
        <f t="shared" si="60"/>
        <v>OK</v>
      </c>
      <c r="R366" s="7" t="str">
        <f t="shared" si="60"/>
        <v>OK</v>
      </c>
      <c r="S366" s="7" t="str">
        <f t="shared" si="60"/>
        <v>OK</v>
      </c>
    </row>
    <row r="367" spans="1:19" x14ac:dyDescent="0.2">
      <c r="A367" s="2" t="s">
        <v>619</v>
      </c>
    </row>
    <row r="368" spans="1:19" x14ac:dyDescent="0.2">
      <c r="A368" s="3" t="s">
        <v>503</v>
      </c>
      <c r="F368" s="21">
        <v>0.436</v>
      </c>
      <c r="G368" s="21">
        <v>0.38500000000000001</v>
      </c>
      <c r="H368" s="21">
        <v>0.38300000000000001</v>
      </c>
      <c r="I368" s="21">
        <v>0.433</v>
      </c>
      <c r="J368" s="21">
        <v>0.51800000000000002</v>
      </c>
      <c r="K368" s="21">
        <v>0.53900000000000003</v>
      </c>
      <c r="L368" s="21">
        <v>0.59499999999999997</v>
      </c>
      <c r="M368" s="21">
        <v>0.76700000000000002</v>
      </c>
      <c r="N368" s="21">
        <v>0.76</v>
      </c>
      <c r="O368" s="24">
        <v>0.79800000000000004</v>
      </c>
      <c r="P368" s="24">
        <v>0.83699999999999997</v>
      </c>
      <c r="Q368" s="24">
        <v>0.91200000000000003</v>
      </c>
      <c r="R368" s="24">
        <v>0.99</v>
      </c>
      <c r="S368" s="24">
        <v>1.075</v>
      </c>
    </row>
    <row r="369" spans="1:19" x14ac:dyDescent="0.2">
      <c r="A369" s="3" t="s">
        <v>504</v>
      </c>
      <c r="F369" s="21">
        <v>0.70699999999999996</v>
      </c>
      <c r="G369" s="21">
        <v>0.23699999999999999</v>
      </c>
      <c r="H369" s="21">
        <v>4.0000000000000001E-3</v>
      </c>
      <c r="I369" s="21">
        <v>-2.7E-2</v>
      </c>
      <c r="J369" s="21">
        <v>0.872</v>
      </c>
      <c r="K369" s="21">
        <v>0.16</v>
      </c>
      <c r="L369" s="21">
        <v>0.98299999999999998</v>
      </c>
      <c r="M369" s="21">
        <v>1.0740000000000001</v>
      </c>
      <c r="N369" s="21">
        <v>4.5999999999999999E-2</v>
      </c>
      <c r="O369" s="24">
        <v>0.22700000000000001</v>
      </c>
      <c r="P369" s="24">
        <v>0.629</v>
      </c>
      <c r="Q369" s="24">
        <v>0.67200000000000004</v>
      </c>
      <c r="R369" s="24">
        <v>0.72</v>
      </c>
      <c r="S369" s="24">
        <v>0.77200000000000002</v>
      </c>
    </row>
    <row r="370" spans="1:19" x14ac:dyDescent="0.2">
      <c r="A370" s="3" t="s">
        <v>505</v>
      </c>
      <c r="F370" s="21">
        <v>-5.1999999999999998E-2</v>
      </c>
      <c r="G370" s="21">
        <v>3.4000000000000002E-2</v>
      </c>
      <c r="H370" s="21">
        <v>-0.32300000000000001</v>
      </c>
      <c r="I370" s="21">
        <v>0.502</v>
      </c>
      <c r="J370" s="21">
        <v>0.16900000000000001</v>
      </c>
      <c r="K370" s="21">
        <v>0.13200000000000001</v>
      </c>
      <c r="L370" s="21">
        <v>0.16500000000000001</v>
      </c>
      <c r="M370" s="21">
        <v>0.16400000000000001</v>
      </c>
      <c r="N370" s="21">
        <v>0.19800000000000001</v>
      </c>
      <c r="O370" s="24">
        <v>0.153</v>
      </c>
      <c r="P370" s="24">
        <v>0.17100000000000001</v>
      </c>
      <c r="Q370" s="24">
        <v>0.20200000000000001</v>
      </c>
      <c r="R370" s="24">
        <v>0.22700000000000001</v>
      </c>
      <c r="S370" s="24">
        <v>0.253</v>
      </c>
    </row>
    <row r="371" spans="1:19" x14ac:dyDescent="0.2">
      <c r="A371" s="3" t="s">
        <v>506</v>
      </c>
      <c r="F371" s="21">
        <v>1.3129999999999999</v>
      </c>
      <c r="G371" s="21">
        <v>-0.995</v>
      </c>
      <c r="H371" s="21">
        <v>-3.4950000000000001</v>
      </c>
      <c r="I371" s="21">
        <v>1.75</v>
      </c>
      <c r="J371" s="21">
        <v>3.5179999999999998</v>
      </c>
      <c r="K371" s="21">
        <v>-0.20399999999999999</v>
      </c>
      <c r="L371" s="21">
        <v>4.3739999999999997</v>
      </c>
      <c r="M371" s="21">
        <v>3.7349999999999999</v>
      </c>
      <c r="N371" s="21">
        <v>3.1560000000000001</v>
      </c>
      <c r="O371" s="24">
        <v>0.34</v>
      </c>
      <c r="P371" s="24">
        <v>1.9630000000000001</v>
      </c>
      <c r="Q371" s="24">
        <v>2.0939999999999999</v>
      </c>
      <c r="R371" s="24">
        <v>2.2330000000000001</v>
      </c>
      <c r="S371" s="24">
        <v>2.3809999999999998</v>
      </c>
    </row>
    <row r="372" spans="1:19" x14ac:dyDescent="0.2">
      <c r="A372" s="3" t="s">
        <v>513</v>
      </c>
      <c r="F372" s="21">
        <v>2.0490000000000004</v>
      </c>
      <c r="G372" s="21">
        <v>2.1040000000000001</v>
      </c>
      <c r="H372" s="21">
        <v>2.2429999999999999</v>
      </c>
      <c r="I372" s="21">
        <v>0.25</v>
      </c>
      <c r="J372" s="21">
        <v>0</v>
      </c>
      <c r="K372" s="21">
        <v>0</v>
      </c>
      <c r="L372" s="21">
        <v>0</v>
      </c>
      <c r="M372" s="21">
        <v>0</v>
      </c>
      <c r="N372" s="21">
        <v>0</v>
      </c>
      <c r="O372" s="24">
        <v>0</v>
      </c>
      <c r="P372" s="24">
        <v>0</v>
      </c>
      <c r="Q372" s="24">
        <v>0</v>
      </c>
      <c r="R372" s="24">
        <v>0</v>
      </c>
      <c r="S372" s="24">
        <v>0</v>
      </c>
    </row>
    <row r="373" spans="1:19" x14ac:dyDescent="0.2">
      <c r="A373" s="3" t="s">
        <v>130</v>
      </c>
      <c r="F373" s="21">
        <v>-2.5000000000000001E-2</v>
      </c>
      <c r="G373" s="21">
        <v>1.6E-2</v>
      </c>
      <c r="H373" s="21">
        <v>2.5999999999999999E-2</v>
      </c>
      <c r="I373" s="21">
        <v>0.01</v>
      </c>
      <c r="J373" s="21">
        <v>1E-3</v>
      </c>
      <c r="K373" s="21">
        <v>8.0000000000000002E-3</v>
      </c>
      <c r="L373" s="21">
        <v>2.5000000000000001E-2</v>
      </c>
      <c r="M373" s="21">
        <v>-4.0000000000000001E-3</v>
      </c>
      <c r="N373" s="21">
        <v>4.1000000000000002E-2</v>
      </c>
      <c r="O373" s="24">
        <v>6.5000000000000002E-2</v>
      </c>
      <c r="P373" s="24">
        <v>1.9E-2</v>
      </c>
      <c r="Q373" s="24">
        <v>2.5999999999999999E-2</v>
      </c>
      <c r="R373" s="24">
        <v>3.3000000000000002E-2</v>
      </c>
      <c r="S373" s="24">
        <v>4.1000000000000002E-2</v>
      </c>
    </row>
    <row r="374" spans="1:19" x14ac:dyDescent="0.2">
      <c r="A374" s="2" t="s">
        <v>507</v>
      </c>
      <c r="E374" s="67">
        <v>9.8550000000000004</v>
      </c>
      <c r="F374" s="54">
        <f>SUM(E$374,F$368,F$371,F$372,F$373)-SUM(F$369,F$370)</f>
        <v>12.973000000000003</v>
      </c>
      <c r="G374" s="54">
        <f t="shared" ref="G374:S374" si="61">SUM(F$374,G$368,G$371,G$372,G$373)-SUM(G$369,G$370)</f>
        <v>14.212000000000002</v>
      </c>
      <c r="H374" s="54">
        <f t="shared" si="61"/>
        <v>13.688000000000002</v>
      </c>
      <c r="I374" s="54">
        <f t="shared" si="61"/>
        <v>15.656000000000004</v>
      </c>
      <c r="J374" s="54">
        <f t="shared" si="61"/>
        <v>18.652000000000005</v>
      </c>
      <c r="K374" s="54">
        <f t="shared" si="61"/>
        <v>18.703000000000003</v>
      </c>
      <c r="L374" s="54">
        <f t="shared" si="61"/>
        <v>22.548999999999999</v>
      </c>
      <c r="M374" s="54">
        <f t="shared" si="61"/>
        <v>25.808999999999997</v>
      </c>
      <c r="N374" s="54">
        <f t="shared" si="61"/>
        <v>29.521999999999998</v>
      </c>
      <c r="O374" s="54">
        <f t="shared" si="61"/>
        <v>30.345000000000002</v>
      </c>
      <c r="P374" s="54">
        <f t="shared" si="61"/>
        <v>32.364000000000004</v>
      </c>
      <c r="Q374" s="54">
        <f t="shared" si="61"/>
        <v>34.522000000000006</v>
      </c>
      <c r="R374" s="54">
        <f t="shared" si="61"/>
        <v>36.831000000000003</v>
      </c>
      <c r="S374" s="54">
        <f t="shared" si="61"/>
        <v>39.303000000000004</v>
      </c>
    </row>
    <row r="375" spans="1:19" x14ac:dyDescent="0.2">
      <c r="A375" s="3" t="s">
        <v>508</v>
      </c>
      <c r="F375" s="21">
        <v>12.576000000000001</v>
      </c>
      <c r="G375" s="21">
        <v>13.791</v>
      </c>
      <c r="H375" s="21">
        <v>12.877000000000001</v>
      </c>
      <c r="I375" s="21">
        <v>15.552</v>
      </c>
      <c r="J375" s="21">
        <v>18.687000000000001</v>
      </c>
      <c r="K375" s="21">
        <v>18.815000000000001</v>
      </c>
      <c r="L375" s="21">
        <v>23.419</v>
      </c>
      <c r="M375" s="21">
        <v>26.99</v>
      </c>
      <c r="N375" s="21">
        <v>31.274000000000001</v>
      </c>
      <c r="O375" s="24">
        <v>33.658999999999999</v>
      </c>
      <c r="P375" s="24">
        <v>35.03</v>
      </c>
      <c r="Q375" s="24">
        <v>37.146999999999998</v>
      </c>
      <c r="R375" s="24">
        <v>39.411000000000001</v>
      </c>
      <c r="S375" s="24">
        <v>41.835000000000001</v>
      </c>
    </row>
    <row r="376" spans="1:19" x14ac:dyDescent="0.2">
      <c r="A376" s="3" t="s">
        <v>509</v>
      </c>
      <c r="F376" s="21">
        <v>0</v>
      </c>
      <c r="G376" s="21">
        <v>0</v>
      </c>
      <c r="H376" s="21">
        <v>0</v>
      </c>
      <c r="I376" s="21">
        <v>0</v>
      </c>
      <c r="J376" s="21">
        <v>-1.161</v>
      </c>
      <c r="K376" s="21">
        <v>-1.3169999999999999</v>
      </c>
      <c r="L376" s="21">
        <v>-2.0550000000000002</v>
      </c>
      <c r="M376" s="21">
        <v>-2.323</v>
      </c>
      <c r="N376" s="21">
        <v>-3.145</v>
      </c>
      <c r="O376" s="24">
        <v>-4.6619999999999999</v>
      </c>
      <c r="P376" s="24">
        <v>-4.1319999999999997</v>
      </c>
      <c r="Q376" s="24">
        <v>-4.1890000000000001</v>
      </c>
      <c r="R376" s="24">
        <v>-4.25</v>
      </c>
      <c r="S376" s="24">
        <v>-4.3140000000000001</v>
      </c>
    </row>
    <row r="377" spans="1:19" x14ac:dyDescent="0.2">
      <c r="A377" s="3" t="s">
        <v>510</v>
      </c>
      <c r="F377" s="21">
        <v>0.39700000000000002</v>
      </c>
      <c r="G377" s="21">
        <v>0.42099999999999999</v>
      </c>
      <c r="H377" s="21">
        <v>0.81100000000000005</v>
      </c>
      <c r="I377" s="21">
        <v>0.104</v>
      </c>
      <c r="J377" s="21">
        <v>1.1259999999999999</v>
      </c>
      <c r="K377" s="21">
        <v>1.2050000000000001</v>
      </c>
      <c r="L377" s="21">
        <v>1.1850000000000001</v>
      </c>
      <c r="M377" s="21">
        <v>1.1419999999999999</v>
      </c>
      <c r="N377" s="21">
        <v>1.393</v>
      </c>
      <c r="O377" s="24">
        <v>1.3480000000000001</v>
      </c>
      <c r="P377" s="24">
        <v>1.466</v>
      </c>
      <c r="Q377" s="24">
        <v>1.5640000000000001</v>
      </c>
      <c r="R377" s="24">
        <v>1.67</v>
      </c>
      <c r="S377" s="24">
        <v>1.782</v>
      </c>
    </row>
    <row r="378" spans="1:19" x14ac:dyDescent="0.2">
      <c r="A378" s="2" t="s">
        <v>512</v>
      </c>
      <c r="F378" s="7" t="str">
        <f>IF(ROUND(F$374-SUM(F$375:F$377),3)=0,"OK","ERROR")</f>
        <v>OK</v>
      </c>
      <c r="G378" s="7" t="str">
        <f t="shared" ref="G378:S378" si="62">IF(ROUND(G$374-SUM(G$375:G$377),3)=0,"OK","ERROR")</f>
        <v>OK</v>
      </c>
      <c r="H378" s="7" t="str">
        <f t="shared" si="62"/>
        <v>OK</v>
      </c>
      <c r="I378" s="7" t="str">
        <f t="shared" si="62"/>
        <v>OK</v>
      </c>
      <c r="J378" s="7" t="str">
        <f t="shared" si="62"/>
        <v>OK</v>
      </c>
      <c r="K378" s="7" t="str">
        <f t="shared" si="62"/>
        <v>OK</v>
      </c>
      <c r="L378" s="7" t="str">
        <f t="shared" si="62"/>
        <v>OK</v>
      </c>
      <c r="M378" s="7" t="str">
        <f t="shared" si="62"/>
        <v>OK</v>
      </c>
      <c r="N378" s="7" t="str">
        <f t="shared" si="62"/>
        <v>OK</v>
      </c>
      <c r="O378" s="7" t="str">
        <f t="shared" si="62"/>
        <v>OK</v>
      </c>
      <c r="P378" s="7" t="str">
        <f t="shared" si="62"/>
        <v>OK</v>
      </c>
      <c r="Q378" s="7" t="str">
        <f t="shared" si="62"/>
        <v>OK</v>
      </c>
      <c r="R378" s="7" t="str">
        <f t="shared" si="62"/>
        <v>OK</v>
      </c>
      <c r="S378" s="7" t="str">
        <f t="shared" si="62"/>
        <v>OK</v>
      </c>
    </row>
    <row r="379" spans="1:19" x14ac:dyDescent="0.2">
      <c r="A379" s="2" t="s">
        <v>317</v>
      </c>
      <c r="F379" s="7"/>
      <c r="G379" s="7"/>
      <c r="H379" s="7"/>
      <c r="I379" s="7"/>
      <c r="J379" s="7"/>
      <c r="K379" s="7"/>
      <c r="L379" s="7"/>
      <c r="M379" s="7"/>
      <c r="N379" s="7"/>
      <c r="O379" s="7"/>
      <c r="P379" s="7"/>
      <c r="Q379" s="7"/>
      <c r="R379" s="7"/>
      <c r="S379" s="7"/>
    </row>
    <row r="380" spans="1:19" x14ac:dyDescent="0.2">
      <c r="A380" s="3" t="s">
        <v>1185</v>
      </c>
      <c r="F380" s="21">
        <v>4.8959999999999999</v>
      </c>
      <c r="G380" s="21">
        <v>6.444</v>
      </c>
      <c r="H380" s="21">
        <v>5.38</v>
      </c>
      <c r="I380" s="21">
        <v>6.7030000000000003</v>
      </c>
      <c r="J380" s="21">
        <v>7.3369999999999997</v>
      </c>
      <c r="K380" s="21">
        <v>8.2550000000000008</v>
      </c>
      <c r="L380" s="21">
        <v>7.6159999999999997</v>
      </c>
      <c r="M380" s="21">
        <v>7.5910000000000002</v>
      </c>
      <c r="N380" s="21">
        <v>7.5990000000000002</v>
      </c>
      <c r="O380" s="24">
        <v>8.3339999999999996</v>
      </c>
      <c r="P380" s="24">
        <v>7.6230000000000002</v>
      </c>
      <c r="Q380" s="24">
        <v>7.3849999999999998</v>
      </c>
      <c r="R380" s="24">
        <v>7.5970000000000004</v>
      </c>
      <c r="S380" s="24">
        <v>6.907</v>
      </c>
    </row>
    <row r="381" spans="1:19" x14ac:dyDescent="0.2">
      <c r="A381" s="3" t="s">
        <v>1186</v>
      </c>
      <c r="F381" s="21">
        <v>3.1789999999999998</v>
      </c>
      <c r="G381" s="21">
        <v>4.4509999999999996</v>
      </c>
      <c r="H381" s="21">
        <v>3.7589999999999999</v>
      </c>
      <c r="I381" s="21">
        <v>3.2280000000000002</v>
      </c>
      <c r="J381" s="21">
        <v>3.762</v>
      </c>
      <c r="K381" s="21">
        <v>3.3490000000000002</v>
      </c>
      <c r="L381" s="21">
        <v>3.544</v>
      </c>
      <c r="M381" s="21">
        <v>4.5259999999999998</v>
      </c>
      <c r="N381" s="21">
        <v>4.3540000000000001</v>
      </c>
      <c r="O381" s="24">
        <v>4.0460000000000003</v>
      </c>
      <c r="P381" s="24">
        <v>4.1369999999999996</v>
      </c>
      <c r="Q381" s="24">
        <v>4.7240000000000002</v>
      </c>
      <c r="R381" s="24">
        <v>5.3609999999999998</v>
      </c>
      <c r="S381" s="24">
        <v>5.8639999999999999</v>
      </c>
    </row>
    <row r="382" spans="1:19" x14ac:dyDescent="0.2">
      <c r="A382" s="2" t="s">
        <v>1184</v>
      </c>
      <c r="F382" s="7" t="str">
        <f>IF(ROUND(F$127-SUM(F$380:F$381),3)=0,"OK","ERROR")</f>
        <v>OK</v>
      </c>
      <c r="G382" s="7" t="str">
        <f t="shared" ref="G382:S382" si="63">IF(ROUND(G$127-SUM(G$380:G$381),3)=0,"OK","ERROR")</f>
        <v>OK</v>
      </c>
      <c r="H382" s="7" t="str">
        <f t="shared" si="63"/>
        <v>OK</v>
      </c>
      <c r="I382" s="7" t="str">
        <f t="shared" si="63"/>
        <v>OK</v>
      </c>
      <c r="J382" s="7" t="str">
        <f t="shared" si="63"/>
        <v>OK</v>
      </c>
      <c r="K382" s="7" t="str">
        <f t="shared" si="63"/>
        <v>OK</v>
      </c>
      <c r="L382" s="7" t="str">
        <f t="shared" si="63"/>
        <v>OK</v>
      </c>
      <c r="M382" s="7" t="str">
        <f t="shared" si="63"/>
        <v>OK</v>
      </c>
      <c r="N382" s="7" t="str">
        <f t="shared" si="63"/>
        <v>OK</v>
      </c>
      <c r="O382" s="7" t="str">
        <f t="shared" si="63"/>
        <v>OK</v>
      </c>
      <c r="P382" s="7" t="str">
        <f t="shared" si="63"/>
        <v>OK</v>
      </c>
      <c r="Q382" s="7" t="str">
        <f t="shared" si="63"/>
        <v>OK</v>
      </c>
      <c r="R382" s="7" t="str">
        <f t="shared" si="63"/>
        <v>OK</v>
      </c>
      <c r="S382" s="7" t="str">
        <f t="shared" si="63"/>
        <v>OK</v>
      </c>
    </row>
    <row r="383" spans="1:19" x14ac:dyDescent="0.2">
      <c r="A383" s="3" t="s">
        <v>412</v>
      </c>
      <c r="F383" s="21">
        <v>5.3339999999999996</v>
      </c>
      <c r="G383" s="21">
        <v>7.4249999999999998</v>
      </c>
      <c r="H383" s="21">
        <v>6.8849999999999998</v>
      </c>
      <c r="I383" s="21">
        <v>7.12</v>
      </c>
      <c r="J383" s="21">
        <v>6.9969999999999999</v>
      </c>
      <c r="K383" s="21">
        <v>7.1390000000000002</v>
      </c>
      <c r="L383" s="21">
        <v>7.8730000000000002</v>
      </c>
      <c r="M383" s="21">
        <v>8.6579999999999995</v>
      </c>
      <c r="N383" s="21">
        <v>8.1310000000000002</v>
      </c>
      <c r="O383" s="24">
        <v>8.5939999999999994</v>
      </c>
      <c r="P383" s="24">
        <v>7.8120000000000003</v>
      </c>
      <c r="Q383" s="24">
        <v>8.1539999999999999</v>
      </c>
      <c r="R383" s="24">
        <v>9.0109999999999992</v>
      </c>
      <c r="S383" s="24">
        <v>9.4250000000000007</v>
      </c>
    </row>
    <row r="384" spans="1:19" x14ac:dyDescent="0.2">
      <c r="A384" s="3" t="s">
        <v>413</v>
      </c>
      <c r="F384" s="21">
        <v>4.1689999999999996</v>
      </c>
      <c r="G384" s="21">
        <v>4.0419999999999998</v>
      </c>
      <c r="H384" s="21">
        <v>3.968</v>
      </c>
      <c r="I384" s="21">
        <v>4.3899999999999997</v>
      </c>
      <c r="J384" s="21">
        <v>5.5869999999999997</v>
      </c>
      <c r="K384" s="21">
        <v>5.6420000000000003</v>
      </c>
      <c r="L384" s="21">
        <v>4.9960000000000004</v>
      </c>
      <c r="M384" s="21">
        <f>5.347+0.035</f>
        <v>5.3820000000000006</v>
      </c>
      <c r="N384" s="21">
        <v>5.67</v>
      </c>
      <c r="O384" s="24">
        <v>5.4660000000000002</v>
      </c>
      <c r="P384" s="24">
        <v>5.53</v>
      </c>
      <c r="Q384" s="24">
        <v>5.4370000000000003</v>
      </c>
      <c r="R384" s="24">
        <v>5.3419999999999996</v>
      </c>
      <c r="S384" s="24">
        <v>4.8049999999999997</v>
      </c>
    </row>
    <row r="385" spans="1:19" x14ac:dyDescent="0.2">
      <c r="A385" s="3" t="s">
        <v>414</v>
      </c>
      <c r="F385" s="21">
        <v>3.7189999999999999</v>
      </c>
      <c r="G385" s="21">
        <v>4.8769999999999998</v>
      </c>
      <c r="H385" s="21">
        <v>4.3239999999999998</v>
      </c>
      <c r="I385" s="21">
        <v>4.6520000000000001</v>
      </c>
      <c r="J385" s="21">
        <v>4.7789999999999999</v>
      </c>
      <c r="K385" s="21">
        <v>4.968</v>
      </c>
      <c r="L385" s="21">
        <v>4.8769999999999998</v>
      </c>
      <c r="M385" s="21">
        <v>4.8319999999999999</v>
      </c>
      <c r="N385" s="21">
        <v>4.9530000000000003</v>
      </c>
      <c r="O385" s="24">
        <v>4.992</v>
      </c>
      <c r="P385" s="24">
        <v>5.0410000000000004</v>
      </c>
      <c r="Q385" s="24">
        <v>5.1459999999999999</v>
      </c>
      <c r="R385" s="24">
        <v>5.2489999999999997</v>
      </c>
      <c r="S385" s="24">
        <v>5.2930000000000001</v>
      </c>
    </row>
    <row r="386" spans="1:19" x14ac:dyDescent="0.2">
      <c r="A386" s="3" t="s">
        <v>415</v>
      </c>
      <c r="F386" s="21">
        <v>-5.1469999999999994</v>
      </c>
      <c r="G386" s="21">
        <v>-5.4489999999999998</v>
      </c>
      <c r="H386" s="21">
        <v>-6.0380000000000003</v>
      </c>
      <c r="I386" s="21">
        <v>-6.2309999999999999</v>
      </c>
      <c r="J386" s="21">
        <v>-6.2640000000000002</v>
      </c>
      <c r="K386" s="21">
        <v>-6.1449999999999996</v>
      </c>
      <c r="L386" s="21">
        <v>-6.5860000000000003</v>
      </c>
      <c r="M386" s="21">
        <f>-6.72-0.035</f>
        <v>-6.7549999999999999</v>
      </c>
      <c r="N386" s="21">
        <v>-6.8010000000000002</v>
      </c>
      <c r="O386" s="24">
        <v>-6.6719999999999997</v>
      </c>
      <c r="P386" s="24">
        <v>-6.6230000000000002</v>
      </c>
      <c r="Q386" s="24">
        <v>-6.6280000000000001</v>
      </c>
      <c r="R386" s="24">
        <v>-6.6440000000000001</v>
      </c>
      <c r="S386" s="24">
        <v>-6.7519999999999998</v>
      </c>
    </row>
    <row r="387" spans="1:19" x14ac:dyDescent="0.2">
      <c r="A387" s="2" t="s">
        <v>652</v>
      </c>
      <c r="F387" s="7" t="str">
        <f>IF(ROUND(F$127-SUM(F$383:F$386),3)=0,"OK","ERROR")</f>
        <v>OK</v>
      </c>
      <c r="G387" s="7" t="str">
        <f t="shared" ref="G387:S387" si="64">IF(ROUND(G$127-SUM(G$383:G$386),3)=0,"OK","ERROR")</f>
        <v>OK</v>
      </c>
      <c r="H387" s="7" t="str">
        <f t="shared" si="64"/>
        <v>OK</v>
      </c>
      <c r="I387" s="7" t="str">
        <f t="shared" si="64"/>
        <v>OK</v>
      </c>
      <c r="J387" s="7" t="str">
        <f t="shared" si="64"/>
        <v>OK</v>
      </c>
      <c r="K387" s="7" t="str">
        <f t="shared" si="64"/>
        <v>OK</v>
      </c>
      <c r="L387" s="7" t="str">
        <f t="shared" si="64"/>
        <v>OK</v>
      </c>
      <c r="M387" s="7" t="str">
        <f t="shared" si="64"/>
        <v>OK</v>
      </c>
      <c r="N387" s="7" t="str">
        <f t="shared" si="64"/>
        <v>OK</v>
      </c>
      <c r="O387" s="7" t="str">
        <f t="shared" si="64"/>
        <v>OK</v>
      </c>
      <c r="P387" s="7" t="str">
        <f t="shared" si="64"/>
        <v>OK</v>
      </c>
      <c r="Q387" s="7" t="str">
        <f t="shared" si="64"/>
        <v>OK</v>
      </c>
      <c r="R387" s="7" t="str">
        <f t="shared" si="64"/>
        <v>OK</v>
      </c>
      <c r="S387" s="7" t="str">
        <f t="shared" si="64"/>
        <v>OK</v>
      </c>
    </row>
    <row r="388" spans="1:19" x14ac:dyDescent="0.2">
      <c r="A388" s="2" t="s">
        <v>320</v>
      </c>
      <c r="F388" s="7"/>
      <c r="G388" s="7"/>
      <c r="H388" s="7"/>
      <c r="I388" s="7"/>
      <c r="J388" s="7"/>
      <c r="K388" s="7"/>
      <c r="L388" s="7"/>
      <c r="M388" s="7"/>
      <c r="N388" s="7"/>
      <c r="O388" s="7"/>
      <c r="P388" s="7"/>
      <c r="Q388" s="7"/>
      <c r="R388" s="7"/>
      <c r="S388" s="7"/>
    </row>
    <row r="389" spans="1:19" x14ac:dyDescent="0.2">
      <c r="A389" s="3" t="s">
        <v>589</v>
      </c>
      <c r="F389" s="21">
        <v>17.327999999999999</v>
      </c>
      <c r="G389" s="21">
        <v>20.373999999999999</v>
      </c>
      <c r="H389" s="21">
        <v>26.446000000000002</v>
      </c>
      <c r="I389" s="21">
        <v>26.997</v>
      </c>
      <c r="J389" s="21">
        <v>26.939</v>
      </c>
      <c r="K389" s="21">
        <v>30.648</v>
      </c>
      <c r="L389" s="21">
        <v>29.446000000000002</v>
      </c>
      <c r="M389" s="21">
        <v>29.948</v>
      </c>
      <c r="N389" s="21">
        <v>32.518000000000001</v>
      </c>
      <c r="O389" s="24">
        <v>33.5</v>
      </c>
      <c r="P389" s="24">
        <v>34.654000000000003</v>
      </c>
      <c r="Q389" s="24">
        <v>35.826000000000001</v>
      </c>
      <c r="R389" s="24">
        <v>37.067999999999998</v>
      </c>
      <c r="S389" s="24">
        <v>38.384</v>
      </c>
    </row>
    <row r="390" spans="1:19" x14ac:dyDescent="0.2">
      <c r="A390" s="3" t="s">
        <v>590</v>
      </c>
      <c r="F390" s="21">
        <v>6.8000000000000005E-2</v>
      </c>
      <c r="G390" s="21">
        <v>9.7000000000000003E-2</v>
      </c>
      <c r="H390" s="21">
        <v>8.6999999999999994E-2</v>
      </c>
      <c r="I390" s="21">
        <v>8.7999999999999995E-2</v>
      </c>
      <c r="J390" s="21">
        <v>10.57</v>
      </c>
      <c r="K390" s="21">
        <v>8.8770000000000007</v>
      </c>
      <c r="L390" s="21">
        <v>6.8689999999999998</v>
      </c>
      <c r="M390" s="21">
        <v>4.7469999999999999</v>
      </c>
      <c r="N390" s="21">
        <v>2.9649999999999999</v>
      </c>
      <c r="O390" s="24">
        <v>1.353</v>
      </c>
      <c r="P390" s="24">
        <v>0.38200000000000001</v>
      </c>
      <c r="Q390" s="24">
        <v>0.19600000000000001</v>
      </c>
      <c r="R390" s="24">
        <v>0.17499999999999999</v>
      </c>
      <c r="S390" s="24">
        <v>0.17499999999999999</v>
      </c>
    </row>
    <row r="391" spans="1:19" x14ac:dyDescent="0.2">
      <c r="A391" s="3" t="s">
        <v>665</v>
      </c>
      <c r="F391" s="21">
        <v>2.1999999999999999E-2</v>
      </c>
      <c r="G391" s="21">
        <v>1.2999999999999999E-2</v>
      </c>
      <c r="H391" s="21">
        <v>3.4000000000000002E-2</v>
      </c>
      <c r="I391" s="21">
        <v>4.5999999999999999E-2</v>
      </c>
      <c r="J391" s="21">
        <f>0.059-0.336+2.082</f>
        <v>1.8049999999999997</v>
      </c>
      <c r="K391" s="21">
        <f>0.048-0.449+2.062</f>
        <v>1.6609999999999998</v>
      </c>
      <c r="L391" s="21">
        <f>0.067-0.414+1.744</f>
        <v>1.397</v>
      </c>
      <c r="M391" s="21">
        <f>-0.304+1.434</f>
        <v>1.1299999999999999</v>
      </c>
      <c r="N391" s="21">
        <f>-0.268+1.216</f>
        <v>0.94799999999999995</v>
      </c>
      <c r="O391" s="24">
        <f>-0.26+0.624</f>
        <v>0.36399999999999999</v>
      </c>
      <c r="P391" s="24">
        <f>0.076+0.223</f>
        <v>0.29899999999999999</v>
      </c>
      <c r="Q391" s="24">
        <f>0.079+0.051</f>
        <v>0.13</v>
      </c>
      <c r="R391" s="24">
        <v>8.2000000000000003E-2</v>
      </c>
      <c r="S391" s="24">
        <v>8.5000000000000006E-2</v>
      </c>
    </row>
    <row r="392" spans="1:19" x14ac:dyDescent="0.2">
      <c r="A392" s="2" t="s">
        <v>673</v>
      </c>
      <c r="F392" s="7" t="str">
        <f t="shared" ref="F392:S392" si="65">IF(ROUND(F$130-SUM(F$389:F$391),3)=0,"OK","ERROR")</f>
        <v>OK</v>
      </c>
      <c r="G392" s="7" t="str">
        <f t="shared" si="65"/>
        <v>OK</v>
      </c>
      <c r="H392" s="7" t="str">
        <f t="shared" si="65"/>
        <v>OK</v>
      </c>
      <c r="I392" s="7" t="str">
        <f t="shared" si="65"/>
        <v>OK</v>
      </c>
      <c r="J392" s="7" t="str">
        <f t="shared" si="65"/>
        <v>OK</v>
      </c>
      <c r="K392" s="7" t="str">
        <f t="shared" si="65"/>
        <v>OK</v>
      </c>
      <c r="L392" s="7" t="str">
        <f t="shared" si="65"/>
        <v>OK</v>
      </c>
      <c r="M392" s="7" t="str">
        <f t="shared" si="65"/>
        <v>OK</v>
      </c>
      <c r="N392" s="7" t="str">
        <f t="shared" si="65"/>
        <v>OK</v>
      </c>
      <c r="O392" s="7" t="str">
        <f t="shared" si="65"/>
        <v>OK</v>
      </c>
      <c r="P392" s="7" t="str">
        <f t="shared" si="65"/>
        <v>OK</v>
      </c>
      <c r="Q392" s="7" t="str">
        <f t="shared" si="65"/>
        <v>OK</v>
      </c>
      <c r="R392" s="7" t="str">
        <f t="shared" si="65"/>
        <v>OK</v>
      </c>
      <c r="S392" s="7" t="str">
        <f t="shared" si="65"/>
        <v>OK</v>
      </c>
    </row>
    <row r="393" spans="1:19" x14ac:dyDescent="0.2">
      <c r="A393" s="2" t="s">
        <v>671</v>
      </c>
      <c r="F393" s="7"/>
      <c r="G393" s="7"/>
      <c r="H393" s="7"/>
      <c r="I393" s="7"/>
      <c r="J393" s="7"/>
      <c r="K393" s="7"/>
      <c r="L393" s="7"/>
      <c r="M393" s="7"/>
      <c r="N393" s="7"/>
      <c r="O393" s="7"/>
      <c r="P393" s="7"/>
      <c r="Q393" s="7"/>
      <c r="R393" s="7"/>
      <c r="S393" s="7"/>
    </row>
    <row r="394" spans="1:19" x14ac:dyDescent="0.2">
      <c r="A394" s="3" t="s">
        <v>666</v>
      </c>
      <c r="F394" s="21">
        <v>1.5669999999999999</v>
      </c>
      <c r="G394" s="21">
        <v>3.0459999999999998</v>
      </c>
      <c r="H394" s="21">
        <v>6.0720000000000001</v>
      </c>
      <c r="I394" s="21">
        <v>0.55100000000000005</v>
      </c>
      <c r="J394" s="21">
        <v>-5.8000000000000003E-2</v>
      </c>
      <c r="K394" s="21">
        <v>3.7090000000000001</v>
      </c>
      <c r="L394" s="21">
        <v>-1.202</v>
      </c>
      <c r="M394" s="21">
        <v>0.502</v>
      </c>
      <c r="N394" s="21">
        <v>2.57</v>
      </c>
      <c r="O394" s="24">
        <v>0.98199999999999998</v>
      </c>
      <c r="P394" s="24">
        <v>1.1539999999999999</v>
      </c>
      <c r="Q394" s="24">
        <v>1.1719999999999999</v>
      </c>
      <c r="R394" s="24">
        <v>1.242</v>
      </c>
      <c r="S394" s="24">
        <v>1.3160000000000001</v>
      </c>
    </row>
    <row r="395" spans="1:19" x14ac:dyDescent="0.2">
      <c r="A395" s="2" t="s">
        <v>667</v>
      </c>
      <c r="E395" s="67">
        <v>15.760999999999999</v>
      </c>
      <c r="F395" s="54">
        <f>SUM(E$395,F$394)</f>
        <v>17.327999999999999</v>
      </c>
      <c r="G395" s="54">
        <f t="shared" ref="G395:S395" si="66">SUM(F$395,G$394)</f>
        <v>20.373999999999999</v>
      </c>
      <c r="H395" s="54">
        <f t="shared" si="66"/>
        <v>26.445999999999998</v>
      </c>
      <c r="I395" s="54">
        <f t="shared" si="66"/>
        <v>26.996999999999996</v>
      </c>
      <c r="J395" s="54">
        <f t="shared" si="66"/>
        <v>26.938999999999997</v>
      </c>
      <c r="K395" s="54">
        <f t="shared" si="66"/>
        <v>30.647999999999996</v>
      </c>
      <c r="L395" s="54">
        <f t="shared" si="66"/>
        <v>29.445999999999998</v>
      </c>
      <c r="M395" s="54">
        <f t="shared" si="66"/>
        <v>29.947999999999997</v>
      </c>
      <c r="N395" s="54">
        <f t="shared" si="66"/>
        <v>32.517999999999994</v>
      </c>
      <c r="O395" s="54">
        <f t="shared" si="66"/>
        <v>33.499999999999993</v>
      </c>
      <c r="P395" s="54">
        <f t="shared" si="66"/>
        <v>34.653999999999996</v>
      </c>
      <c r="Q395" s="54">
        <f t="shared" si="66"/>
        <v>35.825999999999993</v>
      </c>
      <c r="R395" s="54">
        <f t="shared" si="66"/>
        <v>37.067999999999991</v>
      </c>
      <c r="S395" s="54">
        <f t="shared" si="66"/>
        <v>38.383999999999993</v>
      </c>
    </row>
    <row r="396" spans="1:19" x14ac:dyDescent="0.2">
      <c r="A396" s="3" t="s">
        <v>668</v>
      </c>
      <c r="F396" s="21">
        <v>1.4590000000000001</v>
      </c>
      <c r="G396" s="21">
        <v>0.64</v>
      </c>
      <c r="H396" s="21">
        <v>1.298</v>
      </c>
      <c r="I396" s="21">
        <v>3.05</v>
      </c>
      <c r="J396" s="21">
        <v>3.488</v>
      </c>
      <c r="K396" s="21">
        <v>3.2330000000000001</v>
      </c>
      <c r="L396" s="21">
        <v>3.7269999999999999</v>
      </c>
      <c r="M396" s="21">
        <v>2.6469999999999998</v>
      </c>
      <c r="N396" s="21">
        <v>4.181</v>
      </c>
      <c r="O396" s="24">
        <v>1.2529999999999999</v>
      </c>
      <c r="P396" s="24">
        <v>1.175</v>
      </c>
      <c r="Q396" s="24">
        <v>1.282</v>
      </c>
      <c r="R396" s="24">
        <v>1.365</v>
      </c>
      <c r="S396" s="24">
        <v>1.421</v>
      </c>
    </row>
    <row r="397" spans="1:19" x14ac:dyDescent="0.2">
      <c r="A397" s="2" t="s">
        <v>669</v>
      </c>
      <c r="E397" s="67">
        <v>10.298</v>
      </c>
      <c r="F397" s="54">
        <f>SUM(E$397,F$396)</f>
        <v>11.757</v>
      </c>
      <c r="G397" s="54">
        <f t="shared" ref="G397:S397" si="67">SUM(F$397,G$396)</f>
        <v>12.397</v>
      </c>
      <c r="H397" s="54">
        <f t="shared" si="67"/>
        <v>13.695</v>
      </c>
      <c r="I397" s="54">
        <f t="shared" si="67"/>
        <v>16.745000000000001</v>
      </c>
      <c r="J397" s="54">
        <f t="shared" si="67"/>
        <v>20.233000000000001</v>
      </c>
      <c r="K397" s="54">
        <f t="shared" si="67"/>
        <v>23.466000000000001</v>
      </c>
      <c r="L397" s="54">
        <f t="shared" si="67"/>
        <v>27.193000000000001</v>
      </c>
      <c r="M397" s="54">
        <f t="shared" si="67"/>
        <v>29.84</v>
      </c>
      <c r="N397" s="54">
        <f t="shared" si="67"/>
        <v>34.021000000000001</v>
      </c>
      <c r="O397" s="54">
        <f t="shared" si="67"/>
        <v>35.274000000000001</v>
      </c>
      <c r="P397" s="54">
        <f t="shared" si="67"/>
        <v>36.448999999999998</v>
      </c>
      <c r="Q397" s="54">
        <f t="shared" si="67"/>
        <v>37.730999999999995</v>
      </c>
      <c r="R397" s="54">
        <f t="shared" si="67"/>
        <v>39.095999999999997</v>
      </c>
      <c r="S397" s="54">
        <f t="shared" si="67"/>
        <v>40.516999999999996</v>
      </c>
    </row>
    <row r="398" spans="1:19" x14ac:dyDescent="0.2">
      <c r="A398" s="2" t="s">
        <v>321</v>
      </c>
      <c r="F398" s="7"/>
      <c r="G398" s="7"/>
      <c r="H398" s="7"/>
      <c r="I398" s="7"/>
      <c r="J398" s="7"/>
      <c r="K398" s="7"/>
      <c r="L398" s="7"/>
      <c r="M398" s="7"/>
      <c r="N398" s="7"/>
      <c r="O398" s="7"/>
      <c r="P398" s="7"/>
      <c r="Q398" s="7"/>
      <c r="R398" s="7"/>
      <c r="S398" s="7"/>
    </row>
    <row r="399" spans="1:19" x14ac:dyDescent="0.2">
      <c r="A399" s="3" t="s">
        <v>670</v>
      </c>
      <c r="F399" s="21">
        <v>7.16</v>
      </c>
      <c r="G399" s="21">
        <v>8.2569999999999997</v>
      </c>
      <c r="H399" s="21">
        <v>8.9879999999999995</v>
      </c>
      <c r="I399" s="21">
        <v>9.9359999999999999</v>
      </c>
      <c r="J399" s="21">
        <v>10.151999999999999</v>
      </c>
      <c r="K399" s="21">
        <v>13.539</v>
      </c>
      <c r="L399" s="21">
        <v>11.907999999999999</v>
      </c>
      <c r="M399" s="21">
        <v>10.885999999999999</v>
      </c>
      <c r="N399" s="21">
        <v>10.845000000000001</v>
      </c>
      <c r="O399" s="24">
        <v>10.750999999999999</v>
      </c>
      <c r="P399" s="24">
        <v>10.244999999999999</v>
      </c>
      <c r="Q399" s="24">
        <v>9.7370000000000001</v>
      </c>
      <c r="R399" s="24">
        <v>9.2349999999999994</v>
      </c>
      <c r="S399" s="24">
        <v>8.7420000000000009</v>
      </c>
    </row>
    <row r="400" spans="1:19" x14ac:dyDescent="0.2">
      <c r="A400" s="3" t="s">
        <v>672</v>
      </c>
      <c r="F400" s="21">
        <v>1E-3</v>
      </c>
      <c r="G400" s="21">
        <v>0</v>
      </c>
      <c r="H400" s="21">
        <v>5.0000000000000001E-3</v>
      </c>
      <c r="I400" s="21">
        <v>4.0000000000000001E-3</v>
      </c>
      <c r="J400" s="21">
        <v>4.0000000000000001E-3</v>
      </c>
      <c r="K400" s="21">
        <v>0</v>
      </c>
      <c r="L400" s="21">
        <v>-5.0000000000000001E-3</v>
      </c>
      <c r="M400" s="21">
        <v>-1E-3</v>
      </c>
      <c r="N400" s="21">
        <v>-1.0999999999999999E-2</v>
      </c>
      <c r="O400" s="24">
        <v>-0.01</v>
      </c>
      <c r="P400" s="24">
        <v>-0.01</v>
      </c>
      <c r="Q400" s="24">
        <v>-0.01</v>
      </c>
      <c r="R400" s="24">
        <v>-0.01</v>
      </c>
      <c r="S400" s="24">
        <v>-0.01</v>
      </c>
    </row>
    <row r="401" spans="1:19" x14ac:dyDescent="0.2">
      <c r="A401" s="2" t="s">
        <v>674</v>
      </c>
      <c r="F401" s="7" t="str">
        <f t="shared" ref="F401:S401" si="68">IF(ROUND(F$131-SUM(F$399:F$400),3)=0,"OK","ERROR")</f>
        <v>OK</v>
      </c>
      <c r="G401" s="7" t="str">
        <f t="shared" si="68"/>
        <v>OK</v>
      </c>
      <c r="H401" s="7" t="str">
        <f t="shared" si="68"/>
        <v>OK</v>
      </c>
      <c r="I401" s="7" t="str">
        <f t="shared" si="68"/>
        <v>OK</v>
      </c>
      <c r="J401" s="7" t="str">
        <f t="shared" si="68"/>
        <v>OK</v>
      </c>
      <c r="K401" s="7" t="str">
        <f t="shared" si="68"/>
        <v>OK</v>
      </c>
      <c r="L401" s="7" t="str">
        <f t="shared" si="68"/>
        <v>OK</v>
      </c>
      <c r="M401" s="7" t="str">
        <f t="shared" si="68"/>
        <v>OK</v>
      </c>
      <c r="N401" s="7" t="str">
        <f t="shared" si="68"/>
        <v>OK</v>
      </c>
      <c r="O401" s="7" t="str">
        <f t="shared" si="68"/>
        <v>OK</v>
      </c>
      <c r="P401" s="7" t="str">
        <f t="shared" si="68"/>
        <v>OK</v>
      </c>
      <c r="Q401" s="7" t="str">
        <f t="shared" si="68"/>
        <v>OK</v>
      </c>
      <c r="R401" s="7" t="str">
        <f t="shared" si="68"/>
        <v>OK</v>
      </c>
      <c r="S401" s="7" t="str">
        <f t="shared" si="68"/>
        <v>OK</v>
      </c>
    </row>
    <row r="402" spans="1:19" x14ac:dyDescent="0.2">
      <c r="A402" s="2" t="s">
        <v>675</v>
      </c>
    </row>
    <row r="403" spans="1:19" x14ac:dyDescent="0.2">
      <c r="A403" s="3" t="s">
        <v>676</v>
      </c>
      <c r="F403" s="21">
        <v>-0.93100000000000005</v>
      </c>
      <c r="G403" s="21">
        <v>0.66400000000000003</v>
      </c>
      <c r="H403" s="21">
        <v>-3.9E-2</v>
      </c>
      <c r="I403" s="21">
        <v>1.089</v>
      </c>
      <c r="J403" s="21">
        <v>0.43</v>
      </c>
      <c r="K403" s="21">
        <v>3.246</v>
      </c>
      <c r="L403" s="21">
        <v>-1.2669999999999999</v>
      </c>
      <c r="M403" s="21">
        <v>-0.73</v>
      </c>
      <c r="N403" s="21">
        <v>0.372</v>
      </c>
      <c r="O403" s="24">
        <v>-0.20899999999999999</v>
      </c>
      <c r="P403" s="24">
        <v>-0.48099999999999998</v>
      </c>
      <c r="Q403" s="24">
        <v>-0.48499999999999999</v>
      </c>
      <c r="R403" s="24">
        <v>-0.48199999999999998</v>
      </c>
      <c r="S403" s="24">
        <v>-0.47599999999999998</v>
      </c>
    </row>
    <row r="404" spans="1:19" x14ac:dyDescent="0.2">
      <c r="A404" s="2" t="s">
        <v>677</v>
      </c>
      <c r="E404" s="67">
        <v>12.098000000000001</v>
      </c>
      <c r="F404" s="54">
        <f>SUM(E$404,F$403)</f>
        <v>11.167000000000002</v>
      </c>
      <c r="G404" s="54">
        <f t="shared" ref="G404:S404" si="69">SUM(F$404,G$403)</f>
        <v>11.831000000000001</v>
      </c>
      <c r="H404" s="54">
        <f t="shared" si="69"/>
        <v>11.792000000000002</v>
      </c>
      <c r="I404" s="54">
        <f t="shared" si="69"/>
        <v>12.881000000000002</v>
      </c>
      <c r="J404" s="54">
        <f t="shared" si="69"/>
        <v>13.311000000000002</v>
      </c>
      <c r="K404" s="54">
        <f t="shared" si="69"/>
        <v>16.557000000000002</v>
      </c>
      <c r="L404" s="54">
        <f t="shared" si="69"/>
        <v>15.290000000000003</v>
      </c>
      <c r="M404" s="54">
        <f t="shared" si="69"/>
        <v>14.560000000000002</v>
      </c>
      <c r="N404" s="54">
        <f t="shared" si="69"/>
        <v>14.932000000000002</v>
      </c>
      <c r="O404" s="54">
        <f t="shared" si="69"/>
        <v>14.723000000000003</v>
      </c>
      <c r="P404" s="54">
        <f t="shared" si="69"/>
        <v>14.242000000000003</v>
      </c>
      <c r="Q404" s="54">
        <f t="shared" si="69"/>
        <v>13.757000000000003</v>
      </c>
      <c r="R404" s="54">
        <f t="shared" si="69"/>
        <v>13.275000000000004</v>
      </c>
      <c r="S404" s="54">
        <f t="shared" si="69"/>
        <v>12.799000000000003</v>
      </c>
    </row>
    <row r="405" spans="1:19" x14ac:dyDescent="0.2">
      <c r="A405" s="3" t="s">
        <v>678</v>
      </c>
      <c r="F405" s="21">
        <v>0.35399999999999998</v>
      </c>
      <c r="G405" s="21">
        <v>-0.26100000000000001</v>
      </c>
      <c r="H405" s="21">
        <v>-0.58299999999999996</v>
      </c>
      <c r="I405" s="21">
        <v>0.28499999999999998</v>
      </c>
      <c r="J405" s="21">
        <v>0.33600000000000002</v>
      </c>
      <c r="K405" s="21">
        <v>-1.6E-2</v>
      </c>
      <c r="L405" s="21">
        <v>0.49299999999999999</v>
      </c>
      <c r="M405" s="21">
        <v>0.39500000000000002</v>
      </c>
      <c r="N405" s="21">
        <v>0.54100000000000004</v>
      </c>
      <c r="O405" s="24">
        <v>4.9000000000000002E-2</v>
      </c>
      <c r="P405" s="24">
        <v>0.21299999999999999</v>
      </c>
      <c r="Q405" s="24">
        <v>0.215</v>
      </c>
      <c r="R405" s="24">
        <v>0.216</v>
      </c>
      <c r="S405" s="24">
        <v>0.217</v>
      </c>
    </row>
    <row r="406" spans="1:19" x14ac:dyDescent="0.2">
      <c r="A406" s="3" t="s">
        <v>679</v>
      </c>
      <c r="F406" s="21">
        <v>-0.14599999999999999</v>
      </c>
      <c r="G406" s="21">
        <v>-0.17199999999999999</v>
      </c>
      <c r="H406" s="21">
        <v>-0.187</v>
      </c>
      <c r="I406" s="21">
        <v>-0.14399999999999999</v>
      </c>
      <c r="J406" s="21">
        <v>-0.122</v>
      </c>
      <c r="K406" s="21">
        <v>-0.125</v>
      </c>
      <c r="L406" s="21">
        <v>-0.129</v>
      </c>
      <c r="M406" s="21">
        <v>-0.10299999999999999</v>
      </c>
      <c r="N406" s="21">
        <v>-0.128</v>
      </c>
      <c r="O406" s="24">
        <v>-0.16400000000000001</v>
      </c>
      <c r="P406" s="24">
        <v>-0.188</v>
      </c>
      <c r="Q406" s="24">
        <v>-0.192</v>
      </c>
      <c r="R406" s="24">
        <v>-0.19600000000000001</v>
      </c>
      <c r="S406" s="24">
        <v>-0.2</v>
      </c>
    </row>
    <row r="407" spans="1:19" x14ac:dyDescent="0.2">
      <c r="A407" s="2" t="s">
        <v>680</v>
      </c>
      <c r="E407" s="67">
        <v>3.7989999999999999</v>
      </c>
      <c r="F407" s="54">
        <f>SUM(E$407,F$405:F$406)</f>
        <v>4.0069999999999997</v>
      </c>
      <c r="G407" s="54">
        <f t="shared" ref="G407:S407" si="70">SUM(F$407,G$405:G$406)</f>
        <v>3.5739999999999994</v>
      </c>
      <c r="H407" s="54">
        <f t="shared" si="70"/>
        <v>2.8039999999999998</v>
      </c>
      <c r="I407" s="54">
        <f t="shared" si="70"/>
        <v>2.9449999999999998</v>
      </c>
      <c r="J407" s="54">
        <f t="shared" si="70"/>
        <v>3.1589999999999998</v>
      </c>
      <c r="K407" s="54">
        <f t="shared" si="70"/>
        <v>3.0179999999999998</v>
      </c>
      <c r="L407" s="54">
        <f t="shared" si="70"/>
        <v>3.3819999999999997</v>
      </c>
      <c r="M407" s="54">
        <f t="shared" si="70"/>
        <v>3.6739999999999995</v>
      </c>
      <c r="N407" s="54">
        <f t="shared" si="70"/>
        <v>4.0869999999999997</v>
      </c>
      <c r="O407" s="54">
        <f t="shared" si="70"/>
        <v>3.972</v>
      </c>
      <c r="P407" s="54">
        <f t="shared" si="70"/>
        <v>3.9969999999999994</v>
      </c>
      <c r="Q407" s="54">
        <f t="shared" si="70"/>
        <v>4.0199999999999996</v>
      </c>
      <c r="R407" s="54">
        <f t="shared" si="70"/>
        <v>4.04</v>
      </c>
      <c r="S407" s="54">
        <f t="shared" si="70"/>
        <v>4.0569999999999995</v>
      </c>
    </row>
    <row r="408" spans="1:19" x14ac:dyDescent="0.2">
      <c r="A408" s="2" t="s">
        <v>681</v>
      </c>
      <c r="F408" s="54">
        <f>F$404-F$407</f>
        <v>7.1600000000000019</v>
      </c>
      <c r="G408" s="54">
        <f t="shared" ref="G408:S408" si="71">G$404-G$407</f>
        <v>8.2570000000000014</v>
      </c>
      <c r="H408" s="54">
        <f t="shared" si="71"/>
        <v>8.9880000000000013</v>
      </c>
      <c r="I408" s="54">
        <f t="shared" si="71"/>
        <v>9.9360000000000017</v>
      </c>
      <c r="J408" s="54">
        <f t="shared" si="71"/>
        <v>10.152000000000001</v>
      </c>
      <c r="K408" s="54">
        <f t="shared" si="71"/>
        <v>13.539000000000001</v>
      </c>
      <c r="L408" s="54">
        <f t="shared" si="71"/>
        <v>11.908000000000003</v>
      </c>
      <c r="M408" s="54">
        <f t="shared" si="71"/>
        <v>10.886000000000003</v>
      </c>
      <c r="N408" s="54">
        <f t="shared" si="71"/>
        <v>10.845000000000002</v>
      </c>
      <c r="O408" s="54">
        <f t="shared" si="71"/>
        <v>10.751000000000003</v>
      </c>
      <c r="P408" s="54">
        <f t="shared" si="71"/>
        <v>10.245000000000003</v>
      </c>
      <c r="Q408" s="54">
        <f t="shared" si="71"/>
        <v>9.7370000000000037</v>
      </c>
      <c r="R408" s="54">
        <f t="shared" si="71"/>
        <v>9.235000000000003</v>
      </c>
      <c r="S408" s="54">
        <f t="shared" si="71"/>
        <v>8.7420000000000044</v>
      </c>
    </row>
    <row r="409" spans="1:19" x14ac:dyDescent="0.2">
      <c r="A409" s="31" t="s">
        <v>322</v>
      </c>
      <c r="F409" s="72"/>
      <c r="G409" s="72"/>
      <c r="H409" s="72"/>
      <c r="I409" s="72"/>
      <c r="J409" s="72"/>
      <c r="K409" s="72"/>
      <c r="L409" s="72"/>
      <c r="M409" s="72"/>
      <c r="N409" s="72"/>
      <c r="O409" s="72"/>
      <c r="P409" s="72"/>
      <c r="Q409" s="72"/>
      <c r="R409" s="72"/>
      <c r="S409" s="72"/>
    </row>
    <row r="410" spans="1:19" x14ac:dyDescent="0.2">
      <c r="A410" s="3" t="s">
        <v>412</v>
      </c>
      <c r="F410" s="21">
        <v>2.5369999999999999</v>
      </c>
      <c r="G410" s="21">
        <v>2.7629999999999999</v>
      </c>
      <c r="H410" s="21">
        <v>3.081</v>
      </c>
      <c r="I410" s="21">
        <v>3.4239999999999999</v>
      </c>
      <c r="J410" s="21">
        <v>5.351</v>
      </c>
      <c r="K410" s="21">
        <v>4.9649999999999999</v>
      </c>
      <c r="L410" s="21">
        <v>4.492</v>
      </c>
      <c r="M410" s="21">
        <f>4.207+0.001</f>
        <v>4.2080000000000002</v>
      </c>
      <c r="N410" s="21">
        <v>4.8550000000000004</v>
      </c>
      <c r="O410" s="24">
        <v>4.492</v>
      </c>
      <c r="P410" s="24">
        <v>3.9169999999999998</v>
      </c>
      <c r="Q410" s="24">
        <v>3.6789999999999998</v>
      </c>
      <c r="R410" s="24">
        <v>3.5630000000000002</v>
      </c>
      <c r="S410" s="24">
        <v>3.387</v>
      </c>
    </row>
    <row r="411" spans="1:19" x14ac:dyDescent="0.2">
      <c r="A411" s="3" t="s">
        <v>413</v>
      </c>
      <c r="F411" s="21">
        <v>1.1950000000000001</v>
      </c>
      <c r="G411" s="21">
        <v>1.5</v>
      </c>
      <c r="H411" s="21">
        <v>1.5980000000000001</v>
      </c>
      <c r="I411" s="21">
        <v>1.6950000000000001</v>
      </c>
      <c r="J411" s="21">
        <v>1.77</v>
      </c>
      <c r="K411" s="21">
        <v>1.899</v>
      </c>
      <c r="L411" s="21">
        <v>1.9790000000000001</v>
      </c>
      <c r="M411" s="21">
        <v>2.0760000000000001</v>
      </c>
      <c r="N411" s="21">
        <v>2.113</v>
      </c>
      <c r="O411" s="24">
        <v>2.1179999999999999</v>
      </c>
      <c r="P411" s="24">
        <v>2.085</v>
      </c>
      <c r="Q411" s="24">
        <v>2.0870000000000002</v>
      </c>
      <c r="R411" s="24">
        <v>2.0920000000000001</v>
      </c>
      <c r="S411" s="24">
        <v>2.0979999999999999</v>
      </c>
    </row>
    <row r="412" spans="1:19" x14ac:dyDescent="0.2">
      <c r="A412" s="3" t="s">
        <v>414</v>
      </c>
      <c r="F412" s="21">
        <v>0.85199999999999998</v>
      </c>
      <c r="G412" s="21">
        <v>0.68400000000000005</v>
      </c>
      <c r="H412" s="21">
        <v>0.91900000000000004</v>
      </c>
      <c r="I412" s="21">
        <v>0.92500000000000004</v>
      </c>
      <c r="J412" s="21">
        <v>1.028</v>
      </c>
      <c r="K412" s="21">
        <v>1.103</v>
      </c>
      <c r="L412" s="21">
        <v>1.151</v>
      </c>
      <c r="M412" s="21">
        <v>1.177</v>
      </c>
      <c r="N412" s="21">
        <v>1.2669999999999999</v>
      </c>
      <c r="O412" s="24">
        <v>1.083</v>
      </c>
      <c r="P412" s="24">
        <v>0.95599999999999996</v>
      </c>
      <c r="Q412" s="24">
        <v>0.94299999999999995</v>
      </c>
      <c r="R412" s="24">
        <v>0.97</v>
      </c>
      <c r="S412" s="24">
        <v>0.99099999999999999</v>
      </c>
    </row>
    <row r="413" spans="1:19" x14ac:dyDescent="0.2">
      <c r="A413" s="3" t="s">
        <v>415</v>
      </c>
      <c r="F413" s="21">
        <v>-2.4E-2</v>
      </c>
      <c r="G413" s="21">
        <v>-0.19400000000000001</v>
      </c>
      <c r="H413" s="21">
        <v>-4.4999999999999998E-2</v>
      </c>
      <c r="I413" s="21">
        <v>-0.06</v>
      </c>
      <c r="J413" s="21">
        <v>-0.56299999999999994</v>
      </c>
      <c r="K413" s="21">
        <v>-0.46100000000000002</v>
      </c>
      <c r="L413" s="21">
        <v>-0.48399999999999999</v>
      </c>
      <c r="M413" s="21">
        <f>-0.505-0.001</f>
        <v>-0.50600000000000001</v>
      </c>
      <c r="N413" s="21">
        <v>-1.014</v>
      </c>
      <c r="O413" s="24">
        <v>-0.74299999999999999</v>
      </c>
      <c r="P413" s="24">
        <v>-0.32900000000000001</v>
      </c>
      <c r="Q413" s="24">
        <v>-0.17100000000000001</v>
      </c>
      <c r="R413" s="24">
        <v>-0.161</v>
      </c>
      <c r="S413" s="24">
        <v>-3.6999999999999998E-2</v>
      </c>
    </row>
    <row r="414" spans="1:19" x14ac:dyDescent="0.2">
      <c r="A414" s="2" t="s">
        <v>682</v>
      </c>
      <c r="F414" s="7" t="str">
        <f t="shared" ref="F414:S414" si="72">IF(ROUND(F$132-SUM(F$410:F$413),3)=0,"OK","ERROR")</f>
        <v>OK</v>
      </c>
      <c r="G414" s="7" t="str">
        <f t="shared" si="72"/>
        <v>OK</v>
      </c>
      <c r="H414" s="7" t="str">
        <f t="shared" si="72"/>
        <v>OK</v>
      </c>
      <c r="I414" s="7" t="str">
        <f t="shared" si="72"/>
        <v>OK</v>
      </c>
      <c r="J414" s="7" t="str">
        <f t="shared" si="72"/>
        <v>OK</v>
      </c>
      <c r="K414" s="7" t="str">
        <f t="shared" si="72"/>
        <v>OK</v>
      </c>
      <c r="L414" s="7" t="str">
        <f t="shared" si="72"/>
        <v>OK</v>
      </c>
      <c r="M414" s="7" t="str">
        <f t="shared" si="72"/>
        <v>OK</v>
      </c>
      <c r="N414" s="7" t="str">
        <f t="shared" si="72"/>
        <v>OK</v>
      </c>
      <c r="O414" s="7" t="str">
        <f t="shared" si="72"/>
        <v>OK</v>
      </c>
      <c r="P414" s="7" t="str">
        <f t="shared" si="72"/>
        <v>OK</v>
      </c>
      <c r="Q414" s="7" t="str">
        <f t="shared" si="72"/>
        <v>OK</v>
      </c>
      <c r="R414" s="7" t="str">
        <f t="shared" si="72"/>
        <v>OK</v>
      </c>
      <c r="S414" s="7" t="str">
        <f t="shared" si="72"/>
        <v>OK</v>
      </c>
    </row>
    <row r="415" spans="1:19" x14ac:dyDescent="0.2">
      <c r="A415" s="31" t="s">
        <v>538</v>
      </c>
    </row>
    <row r="416" spans="1:19" x14ac:dyDescent="0.2">
      <c r="A416" s="3" t="s">
        <v>503</v>
      </c>
      <c r="F416" s="21">
        <v>0</v>
      </c>
      <c r="G416" s="21">
        <v>0</v>
      </c>
      <c r="H416" s="21">
        <v>0</v>
      </c>
      <c r="I416" s="21">
        <v>2.3E-2</v>
      </c>
      <c r="J416" s="21">
        <v>0.32200000000000001</v>
      </c>
      <c r="K416" s="21">
        <v>6.4000000000000001E-2</v>
      </c>
      <c r="L416" s="21">
        <f>0.016+0.024</f>
        <v>0.04</v>
      </c>
      <c r="M416" s="21">
        <v>1.2999999999999999E-2</v>
      </c>
      <c r="N416" s="21">
        <v>0.13500000000000001</v>
      </c>
      <c r="O416" s="24">
        <v>0.16900000000000001</v>
      </c>
      <c r="P416" s="24">
        <v>0.17199999999999999</v>
      </c>
      <c r="Q416" s="24">
        <v>0.17599999999999999</v>
      </c>
      <c r="R416" s="24">
        <v>0.17599999999999999</v>
      </c>
      <c r="S416" s="24">
        <v>0.17799999999999999</v>
      </c>
    </row>
    <row r="417" spans="1:19" x14ac:dyDescent="0.2">
      <c r="A417" s="3" t="s">
        <v>539</v>
      </c>
      <c r="F417" s="21">
        <v>0</v>
      </c>
      <c r="G417" s="21">
        <v>0</v>
      </c>
      <c r="H417" s="21">
        <v>-1.7000000000000001E-2</v>
      </c>
      <c r="I417" s="21">
        <v>-0.08</v>
      </c>
      <c r="J417" s="21">
        <v>-0.86</v>
      </c>
      <c r="K417" s="21">
        <v>-0.33400000000000002</v>
      </c>
      <c r="L417" s="21">
        <f>-0.055-0.024</f>
        <v>-7.9000000000000001E-2</v>
      </c>
      <c r="M417" s="21">
        <f>-0.046-0.024</f>
        <v>-7.0000000000000007E-2</v>
      </c>
      <c r="N417" s="21">
        <v>-0.13</v>
      </c>
      <c r="O417" s="24">
        <v>-0.114</v>
      </c>
      <c r="P417" s="24">
        <v>-0.11899999999999999</v>
      </c>
      <c r="Q417" s="24">
        <v>-0.14799999999999999</v>
      </c>
      <c r="R417" s="24">
        <v>-0.152</v>
      </c>
      <c r="S417" s="24">
        <v>-0.12</v>
      </c>
    </row>
    <row r="418" spans="1:19" x14ac:dyDescent="0.2">
      <c r="A418" s="3" t="s">
        <v>347</v>
      </c>
      <c r="F418" s="21">
        <v>0</v>
      </c>
      <c r="G418" s="21">
        <v>0</v>
      </c>
      <c r="H418" s="21">
        <v>0</v>
      </c>
      <c r="I418" s="21">
        <v>0</v>
      </c>
      <c r="J418" s="21">
        <v>0</v>
      </c>
      <c r="K418" s="21">
        <v>0.50700000000000001</v>
      </c>
      <c r="L418" s="21">
        <v>0.23499999999999999</v>
      </c>
      <c r="M418" s="21">
        <v>-0.28499999999999998</v>
      </c>
      <c r="N418" s="21">
        <v>-0.33900000000000002</v>
      </c>
      <c r="O418" s="24">
        <v>6.0000000000000001E-3</v>
      </c>
      <c r="P418" s="24">
        <v>0</v>
      </c>
      <c r="Q418" s="24">
        <v>0</v>
      </c>
      <c r="R418" s="24">
        <v>0</v>
      </c>
      <c r="S418" s="24">
        <v>0</v>
      </c>
    </row>
    <row r="420" spans="1:19" x14ac:dyDescent="0.2">
      <c r="A420" s="2" t="s">
        <v>815</v>
      </c>
    </row>
    <row r="421" spans="1:19" x14ac:dyDescent="0.2">
      <c r="A421" s="3" t="s">
        <v>683</v>
      </c>
      <c r="F421" s="21">
        <v>53.277999999999999</v>
      </c>
      <c r="G421" s="21">
        <v>55.975000000000001</v>
      </c>
      <c r="H421" s="21">
        <v>51.362000000000002</v>
      </c>
      <c r="I421" s="21">
        <v>50.631</v>
      </c>
      <c r="J421" s="21">
        <v>51.454000000000001</v>
      </c>
      <c r="K421" s="21">
        <v>54.249000000000002</v>
      </c>
      <c r="L421" s="21">
        <v>57.808</v>
      </c>
      <c r="M421" s="21">
        <v>61.320999999999998</v>
      </c>
      <c r="N421" s="21">
        <v>66.347999999999999</v>
      </c>
      <c r="O421" s="24">
        <v>67.265000000000001</v>
      </c>
      <c r="P421" s="24">
        <v>69.912999999999997</v>
      </c>
      <c r="Q421" s="24">
        <v>74.561999999999998</v>
      </c>
      <c r="R421" s="24">
        <v>79.350999999999999</v>
      </c>
      <c r="S421" s="24">
        <v>83.463999999999999</v>
      </c>
    </row>
    <row r="422" spans="1:19" x14ac:dyDescent="0.2">
      <c r="A422" s="32" t="s">
        <v>261</v>
      </c>
      <c r="F422" s="21">
        <v>0.39500000000000002</v>
      </c>
      <c r="G422" s="21">
        <v>0.48599999999999999</v>
      </c>
      <c r="H422" s="21">
        <v>0.48899999999999999</v>
      </c>
      <c r="I422" s="21">
        <v>0.56599999999999995</v>
      </c>
      <c r="J422" s="21">
        <v>0.64600000000000002</v>
      </c>
      <c r="K422" s="21">
        <v>0.67</v>
      </c>
      <c r="L422" s="21">
        <v>0.65100000000000002</v>
      </c>
      <c r="M422" s="21">
        <v>0.747</v>
      </c>
      <c r="N422" s="21">
        <v>0.88900000000000001</v>
      </c>
      <c r="O422" s="24">
        <v>0.83899999999999997</v>
      </c>
      <c r="P422" s="24">
        <v>0.85699999999999998</v>
      </c>
      <c r="Q422" s="24">
        <v>0.86899999999999999</v>
      </c>
      <c r="R422" s="24">
        <v>0.88300000000000001</v>
      </c>
      <c r="S422" s="24">
        <v>0.89400000000000002</v>
      </c>
    </row>
    <row r="423" spans="1:19" x14ac:dyDescent="0.2">
      <c r="A423" s="32" t="s">
        <v>684</v>
      </c>
      <c r="F423" s="21">
        <v>1.8959999999999999</v>
      </c>
      <c r="G423" s="21">
        <v>2.1280000000000001</v>
      </c>
      <c r="H423" s="21">
        <v>1.4410000000000001</v>
      </c>
      <c r="I423" s="21">
        <v>1.897</v>
      </c>
      <c r="J423" s="21">
        <v>1.8169999999999999</v>
      </c>
      <c r="K423" s="21">
        <v>1.431</v>
      </c>
      <c r="L423" s="21">
        <v>1.5529999999999999</v>
      </c>
      <c r="M423" s="21">
        <v>1.627</v>
      </c>
      <c r="N423" s="21">
        <v>1.806</v>
      </c>
      <c r="O423" s="24">
        <v>1.7290000000000001</v>
      </c>
      <c r="P423" s="24">
        <v>1.6779999999999999</v>
      </c>
      <c r="Q423" s="24">
        <v>1.7949999999999999</v>
      </c>
      <c r="R423" s="24">
        <v>2.0209999999999999</v>
      </c>
      <c r="S423" s="24">
        <v>2.1419999999999999</v>
      </c>
    </row>
    <row r="424" spans="1:19" x14ac:dyDescent="0.2">
      <c r="A424" s="32" t="s">
        <v>724</v>
      </c>
      <c r="F424" s="21">
        <v>1.4330000000000001</v>
      </c>
      <c r="G424" s="21">
        <v>1.411</v>
      </c>
      <c r="H424" s="21">
        <v>2.2879999999999998</v>
      </c>
      <c r="I424" s="21">
        <v>2.6579999999999999</v>
      </c>
      <c r="J424" s="21">
        <v>2.0939999999999999</v>
      </c>
      <c r="K424" s="21">
        <v>2.6989999999999998</v>
      </c>
      <c r="L424" s="21">
        <v>2.3849999999999998</v>
      </c>
      <c r="M424" s="21">
        <v>2.3969999999999998</v>
      </c>
      <c r="N424" s="21">
        <v>2.4329999999999998</v>
      </c>
      <c r="O424" s="24">
        <v>2.0019999999999998</v>
      </c>
      <c r="P424" s="24">
        <v>2.2919999999999998</v>
      </c>
      <c r="Q424" s="24">
        <v>1.992</v>
      </c>
      <c r="R424" s="24">
        <v>1.966</v>
      </c>
      <c r="S424" s="24">
        <v>1.956</v>
      </c>
    </row>
    <row r="425" spans="1:19" x14ac:dyDescent="0.2">
      <c r="A425" s="32" t="s">
        <v>229</v>
      </c>
      <c r="F425" s="21">
        <v>-17.234000000000002</v>
      </c>
      <c r="G425" s="21">
        <v>-19.562000000000001</v>
      </c>
      <c r="H425" s="21">
        <v>-19.952999999999999</v>
      </c>
      <c r="I425" s="21">
        <v>-21.605</v>
      </c>
      <c r="J425" s="21">
        <v>-22.225999999999999</v>
      </c>
      <c r="K425" s="21">
        <v>-22.853999999999999</v>
      </c>
      <c r="L425" s="21">
        <v>-22.78</v>
      </c>
      <c r="M425" s="21">
        <v>-23.446999999999999</v>
      </c>
      <c r="N425" s="21">
        <v>-23.895</v>
      </c>
      <c r="O425" s="24">
        <v>-24.489000000000001</v>
      </c>
      <c r="P425" s="24">
        <v>-25.538</v>
      </c>
      <c r="Q425" s="24">
        <v>-26.420999999999999</v>
      </c>
      <c r="R425" s="24">
        <v>-27.186</v>
      </c>
      <c r="S425" s="24">
        <v>-28.65</v>
      </c>
    </row>
    <row r="426" spans="1:19" x14ac:dyDescent="0.2">
      <c r="A426" s="32" t="s">
        <v>685</v>
      </c>
      <c r="F426" s="21">
        <v>-28.962</v>
      </c>
      <c r="G426" s="21">
        <v>-30.792000000000002</v>
      </c>
      <c r="H426" s="21">
        <v>-35.393999999999998</v>
      </c>
      <c r="I426" s="21">
        <v>-37.156999999999996</v>
      </c>
      <c r="J426" s="21">
        <v>-40.433</v>
      </c>
      <c r="K426" s="21">
        <v>-40.036000000000001</v>
      </c>
      <c r="L426" s="21">
        <v>-40.411999999999999</v>
      </c>
      <c r="M426" s="21">
        <v>-41.988999999999997</v>
      </c>
      <c r="N426" s="21">
        <v>-42.064</v>
      </c>
      <c r="O426" s="24">
        <v>-44.344999999999999</v>
      </c>
      <c r="P426" s="24">
        <v>-43.463000000000001</v>
      </c>
      <c r="Q426" s="24">
        <v>-43.826999999999998</v>
      </c>
      <c r="R426" s="24">
        <v>-43.164000000000001</v>
      </c>
      <c r="S426" s="24">
        <v>-43.222999999999999</v>
      </c>
    </row>
    <row r="427" spans="1:19" x14ac:dyDescent="0.2">
      <c r="A427" s="3" t="s">
        <v>258</v>
      </c>
      <c r="F427" s="21">
        <v>-2.2200000000000002</v>
      </c>
      <c r="G427" s="21">
        <v>-2.3540000000000001</v>
      </c>
      <c r="H427" s="21">
        <v>-2.2000000000000002</v>
      </c>
      <c r="I427" s="21">
        <v>-1.9810000000000001</v>
      </c>
      <c r="J427" s="21">
        <v>-2.637</v>
      </c>
      <c r="K427" s="21">
        <v>-3.3690000000000002</v>
      </c>
      <c r="L427" s="21">
        <v>-3.7290000000000001</v>
      </c>
      <c r="M427" s="21">
        <v>-3.6419999999999999</v>
      </c>
      <c r="N427" s="21">
        <v>-3.9220000000000002</v>
      </c>
      <c r="O427" s="24">
        <v>-3.64</v>
      </c>
      <c r="P427" s="24">
        <v>-3.8479999999999999</v>
      </c>
      <c r="Q427" s="24">
        <v>-3.9449999999999998</v>
      </c>
      <c r="R427" s="24">
        <v>-4.1100000000000003</v>
      </c>
      <c r="S427" s="24">
        <v>-3.9049999999999998</v>
      </c>
    </row>
    <row r="428" spans="1:19" x14ac:dyDescent="0.2">
      <c r="A428" s="31" t="s">
        <v>686</v>
      </c>
      <c r="F428" s="54">
        <f t="shared" ref="F428:S428" si="73">SUM(F$421:F$427)-SUM(F$21:F$22)</f>
        <v>8.5860000000000003</v>
      </c>
      <c r="G428" s="54">
        <f t="shared" si="73"/>
        <v>7.2920000000000007</v>
      </c>
      <c r="H428" s="54">
        <f t="shared" si="73"/>
        <v>-1.9670000000000032</v>
      </c>
      <c r="I428" s="54">
        <f t="shared" si="73"/>
        <v>-4.9909999999999908</v>
      </c>
      <c r="J428" s="54">
        <f t="shared" si="73"/>
        <v>-9.2849999999999966</v>
      </c>
      <c r="K428" s="54">
        <f t="shared" si="73"/>
        <v>-7.2100000000000009</v>
      </c>
      <c r="L428" s="54">
        <f t="shared" si="73"/>
        <v>-4.5240000000000018</v>
      </c>
      <c r="M428" s="54">
        <f t="shared" si="73"/>
        <v>-2.9860000000000011</v>
      </c>
      <c r="N428" s="54">
        <f t="shared" si="73"/>
        <v>1.5950000000000029</v>
      </c>
      <c r="O428" s="54">
        <f t="shared" si="73"/>
        <v>0.11499999999999033</v>
      </c>
      <c r="P428" s="54">
        <f t="shared" si="73"/>
        <v>1.3679999999999972</v>
      </c>
      <c r="Q428" s="54">
        <f t="shared" si="73"/>
        <v>1.8190000000000057</v>
      </c>
      <c r="R428" s="54">
        <f t="shared" si="73"/>
        <v>4.8459999999999885</v>
      </c>
      <c r="S428" s="54">
        <f t="shared" si="73"/>
        <v>6.2420000000000062</v>
      </c>
    </row>
    <row r="429" spans="1:19" x14ac:dyDescent="0.2">
      <c r="A429" s="3" t="s">
        <v>708</v>
      </c>
      <c r="F429" s="21">
        <v>-1.7549999999999999</v>
      </c>
      <c r="G429" s="21">
        <v>-1.4330000000000001</v>
      </c>
      <c r="H429" s="21">
        <v>-1.625</v>
      </c>
      <c r="I429" s="21">
        <v>-1.778</v>
      </c>
      <c r="J429" s="21">
        <v>-1.524</v>
      </c>
      <c r="K429" s="21">
        <v>-1.262</v>
      </c>
      <c r="L429" s="21">
        <v>-1.2310000000000001</v>
      </c>
      <c r="M429" s="21">
        <v>-1.867</v>
      </c>
      <c r="N429" s="21">
        <v>-1.9550000000000001</v>
      </c>
      <c r="O429" s="24">
        <v>-3.0339999999999998</v>
      </c>
      <c r="P429" s="24">
        <v>-2.7570000000000001</v>
      </c>
      <c r="Q429" s="24">
        <v>-1.85</v>
      </c>
      <c r="R429" s="24">
        <v>-1.7430000000000001</v>
      </c>
      <c r="S429" s="24">
        <v>-1.766</v>
      </c>
    </row>
    <row r="430" spans="1:19" x14ac:dyDescent="0.2">
      <c r="A430" s="3" t="s">
        <v>727</v>
      </c>
      <c r="F430" s="21">
        <v>-1.125</v>
      </c>
      <c r="G430" s="21">
        <v>-1.254</v>
      </c>
      <c r="H430" s="21">
        <v>-0.86</v>
      </c>
      <c r="I430" s="21">
        <v>-0.92600000000000005</v>
      </c>
      <c r="J430" s="21">
        <v>-1.242</v>
      </c>
      <c r="K430" s="21">
        <v>-1.022</v>
      </c>
      <c r="L430" s="21">
        <v>-0.34200000000000003</v>
      </c>
      <c r="M430" s="21">
        <v>-0.71599999999999997</v>
      </c>
      <c r="N430" s="21">
        <v>-0.56999999999999995</v>
      </c>
      <c r="O430" s="24">
        <v>-0.60899999999999999</v>
      </c>
      <c r="P430" s="24">
        <v>-0.56899999999999995</v>
      </c>
      <c r="Q430" s="24">
        <v>-0.46100000000000002</v>
      </c>
      <c r="R430" s="24">
        <v>-0.38600000000000001</v>
      </c>
      <c r="S430" s="24">
        <v>-0.217</v>
      </c>
    </row>
    <row r="431" spans="1:19" x14ac:dyDescent="0.2">
      <c r="A431" s="3" t="s">
        <v>726</v>
      </c>
      <c r="F431" s="21">
        <v>-0.86499999999999999</v>
      </c>
      <c r="G431" s="21">
        <v>-0.44400000000000001</v>
      </c>
      <c r="H431" s="21">
        <v>-1.944</v>
      </c>
      <c r="I431" s="21">
        <v>-1.0549999999999999</v>
      </c>
      <c r="J431" s="21">
        <v>-1.292</v>
      </c>
      <c r="K431" s="21">
        <v>-1.1499999999999999</v>
      </c>
      <c r="L431" s="21">
        <f>-1.308+1.663</f>
        <v>0.35499999999999998</v>
      </c>
      <c r="M431" s="21">
        <f>-0.865+2.325</f>
        <v>1.4600000000000002</v>
      </c>
      <c r="N431" s="21">
        <f>-1.525+0.628</f>
        <v>-0.89699999999999991</v>
      </c>
      <c r="O431" s="24">
        <v>-1.974</v>
      </c>
      <c r="P431" s="24">
        <v>-1.9830000000000001</v>
      </c>
      <c r="Q431" s="24">
        <v>-1.546</v>
      </c>
      <c r="R431" s="24">
        <v>-1.5089999999999999</v>
      </c>
      <c r="S431" s="24">
        <v>-1.466</v>
      </c>
    </row>
    <row r="432" spans="1:19" x14ac:dyDescent="0.2">
      <c r="A432" s="31" t="s">
        <v>687</v>
      </c>
      <c r="F432" s="54">
        <f t="shared" ref="F432:S432" si="74">SUM(F$429:F$431)-SUM(F$372,F$123-E$123,F$124-E$124)</f>
        <v>-5.7940000000000005</v>
      </c>
      <c r="G432" s="54">
        <f t="shared" si="74"/>
        <v>-5.2350000000000003</v>
      </c>
      <c r="H432" s="54">
        <f t="shared" si="74"/>
        <v>-6.6720000000000006</v>
      </c>
      <c r="I432" s="54">
        <f t="shared" si="74"/>
        <v>-4.0090000000000003</v>
      </c>
      <c r="J432" s="54">
        <f t="shared" si="74"/>
        <v>-4.0579999999999998</v>
      </c>
      <c r="K432" s="54">
        <f t="shared" si="74"/>
        <v>-3.4339999999999997</v>
      </c>
      <c r="L432" s="54">
        <f t="shared" si="74"/>
        <v>-1.2180000000000002</v>
      </c>
      <c r="M432" s="54">
        <f t="shared" si="74"/>
        <v>-1.123</v>
      </c>
      <c r="N432" s="54">
        <f t="shared" si="74"/>
        <v>-3.4219999999999997</v>
      </c>
      <c r="O432" s="54">
        <f t="shared" si="74"/>
        <v>-5.5129999999999999</v>
      </c>
      <c r="P432" s="54">
        <f t="shared" si="74"/>
        <v>-6.03</v>
      </c>
      <c r="Q432" s="54">
        <f t="shared" si="74"/>
        <v>-4.5979999999999999</v>
      </c>
      <c r="R432" s="54">
        <f t="shared" si="74"/>
        <v>-4.3230000000000004</v>
      </c>
      <c r="S432" s="54">
        <f t="shared" si="74"/>
        <v>-4.3119999999999994</v>
      </c>
    </row>
    <row r="433" spans="1:19" x14ac:dyDescent="0.2">
      <c r="A433" s="31" t="s">
        <v>688</v>
      </c>
      <c r="F433" s="23">
        <v>2.7919999999999998</v>
      </c>
      <c r="G433" s="23">
        <v>2.0569999999999999</v>
      </c>
      <c r="H433" s="23">
        <v>-8.6389999999999993</v>
      </c>
      <c r="I433" s="23">
        <v>-9</v>
      </c>
      <c r="J433" s="23">
        <v>-13.343</v>
      </c>
      <c r="K433" s="23">
        <v>-10.644</v>
      </c>
      <c r="L433" s="23">
        <v>-5.742</v>
      </c>
      <c r="M433" s="23">
        <v>-4.109</v>
      </c>
      <c r="N433" s="23">
        <v>-1.827</v>
      </c>
      <c r="O433" s="25">
        <v>-5.3979999999999997</v>
      </c>
      <c r="P433" s="25">
        <v>-4.6619999999999999</v>
      </c>
      <c r="Q433" s="25">
        <v>-2.7789999999999999</v>
      </c>
      <c r="R433" s="25">
        <v>0.52300000000000002</v>
      </c>
      <c r="S433" s="25">
        <v>1.93</v>
      </c>
    </row>
    <row r="434" spans="1:19" x14ac:dyDescent="0.2">
      <c r="A434" s="2" t="s">
        <v>689</v>
      </c>
      <c r="F434" s="7" t="str">
        <f>IF(ROUND(F$433-SUM(F$428,F$432),3)=0,"OK","ERROR")</f>
        <v>OK</v>
      </c>
      <c r="G434" s="7" t="str">
        <f t="shared" ref="G434:S434" si="75">IF(ROUND(G$433-SUM(G$428,G$432),3)=0,"OK","ERROR")</f>
        <v>OK</v>
      </c>
      <c r="H434" s="7" t="str">
        <f t="shared" si="75"/>
        <v>OK</v>
      </c>
      <c r="I434" s="7" t="str">
        <f t="shared" si="75"/>
        <v>OK</v>
      </c>
      <c r="J434" s="7" t="str">
        <f t="shared" si="75"/>
        <v>OK</v>
      </c>
      <c r="K434" s="7" t="str">
        <f t="shared" si="75"/>
        <v>OK</v>
      </c>
      <c r="L434" s="7" t="str">
        <f t="shared" si="75"/>
        <v>OK</v>
      </c>
      <c r="M434" s="7" t="str">
        <f t="shared" si="75"/>
        <v>OK</v>
      </c>
      <c r="N434" s="7" t="str">
        <f t="shared" si="75"/>
        <v>OK</v>
      </c>
      <c r="O434" s="7" t="str">
        <f t="shared" si="75"/>
        <v>OK</v>
      </c>
      <c r="P434" s="7" t="str">
        <f t="shared" si="75"/>
        <v>OK</v>
      </c>
      <c r="Q434" s="7" t="str">
        <f t="shared" si="75"/>
        <v>OK</v>
      </c>
      <c r="R434" s="7" t="str">
        <f t="shared" si="75"/>
        <v>OK</v>
      </c>
      <c r="S434" s="7" t="str">
        <f t="shared" si="75"/>
        <v>OK</v>
      </c>
    </row>
    <row r="435" spans="1:19" x14ac:dyDescent="0.2">
      <c r="A435" s="31" t="s">
        <v>690</v>
      </c>
      <c r="F435" s="23">
        <f>-0.334+2.895</f>
        <v>2.5609999999999999</v>
      </c>
      <c r="G435" s="23">
        <f>1.887+-0.684</f>
        <v>1.2029999999999998</v>
      </c>
      <c r="H435" s="23">
        <f>3.051+7.386</f>
        <v>10.437000000000001</v>
      </c>
      <c r="I435" s="23">
        <f>8.37+-0.57</f>
        <v>7.7999999999999989</v>
      </c>
      <c r="J435" s="23">
        <f>18.388+0.373</f>
        <v>18.761000000000003</v>
      </c>
      <c r="K435" s="23">
        <f>8.612+-0.15</f>
        <v>8.4619999999999997</v>
      </c>
      <c r="L435" s="23">
        <f>-0.327+1.447</f>
        <v>1.1200000000000001</v>
      </c>
      <c r="M435" s="23">
        <v>4.9939999999999998</v>
      </c>
      <c r="N435" s="23">
        <v>3.0409999999999999</v>
      </c>
      <c r="O435" s="25">
        <v>2.2330000000000001</v>
      </c>
      <c r="P435" s="25">
        <v>8.8620000000000001</v>
      </c>
      <c r="Q435" s="25">
        <v>-2.6349999999999998</v>
      </c>
      <c r="R435" s="25">
        <v>-2.879</v>
      </c>
      <c r="S435" s="25">
        <v>1.117</v>
      </c>
    </row>
    <row r="436" spans="1:19" x14ac:dyDescent="0.2">
      <c r="A436" s="3" t="s">
        <v>691</v>
      </c>
      <c r="F436" s="21">
        <v>-4.9560000000000004</v>
      </c>
      <c r="G436" s="21">
        <v>-3.5950000000000002</v>
      </c>
      <c r="H436" s="21">
        <v>-0.51200000000000001</v>
      </c>
      <c r="I436" s="21">
        <v>2.0019999999999998</v>
      </c>
      <c r="J436" s="21">
        <v>-4.7910000000000004</v>
      </c>
      <c r="K436" s="21">
        <v>2.27</v>
      </c>
      <c r="L436" s="21">
        <v>5.6989999999999998</v>
      </c>
      <c r="M436" s="21">
        <v>-1.51</v>
      </c>
      <c r="N436" s="21">
        <v>0.79500000000000004</v>
      </c>
      <c r="O436" s="24">
        <v>3.008</v>
      </c>
      <c r="P436" s="24">
        <v>-4.359</v>
      </c>
      <c r="Q436" s="24">
        <v>5.2480000000000002</v>
      </c>
      <c r="R436" s="24">
        <v>2.1880000000000002</v>
      </c>
      <c r="S436" s="24">
        <v>-3.222</v>
      </c>
    </row>
    <row r="437" spans="1:19" x14ac:dyDescent="0.2">
      <c r="A437" s="32" t="s">
        <v>692</v>
      </c>
      <c r="F437" s="21">
        <v>-0.47799999999999998</v>
      </c>
      <c r="G437" s="21">
        <v>0.249</v>
      </c>
      <c r="H437" s="21">
        <v>-1.7609999999999999</v>
      </c>
      <c r="I437" s="21">
        <v>-0.81699999999999995</v>
      </c>
      <c r="J437" s="21">
        <v>-0.86099999999999999</v>
      </c>
      <c r="K437" s="21">
        <v>-0.29099999999999998</v>
      </c>
      <c r="L437" s="21">
        <v>-1.3109999999999999</v>
      </c>
      <c r="M437" s="21">
        <v>0.35099999999999998</v>
      </c>
      <c r="N437" s="21">
        <v>-2.3809999999999998</v>
      </c>
      <c r="O437" s="24">
        <v>-5.7000000000000002E-2</v>
      </c>
      <c r="P437" s="24">
        <v>-4.0000000000000001E-3</v>
      </c>
      <c r="Q437" s="24">
        <v>-4.0000000000000001E-3</v>
      </c>
      <c r="R437" s="24">
        <v>-6.0000000000000001E-3</v>
      </c>
      <c r="S437" s="24">
        <v>-5.0000000000000001E-3</v>
      </c>
    </row>
    <row r="438" spans="1:19" x14ac:dyDescent="0.2">
      <c r="A438" s="31" t="s">
        <v>693</v>
      </c>
      <c r="F438" s="54">
        <f t="shared" ref="F438:S438" si="76">SUM(F$87,F$436:F$437)</f>
        <v>-5.3529999999999998</v>
      </c>
      <c r="G438" s="54">
        <f t="shared" si="76"/>
        <v>-3.2600000000000002</v>
      </c>
      <c r="H438" s="54">
        <f t="shared" si="76"/>
        <v>-1.798</v>
      </c>
      <c r="I438" s="54">
        <f t="shared" si="76"/>
        <v>1.2</v>
      </c>
      <c r="J438" s="54">
        <f t="shared" si="76"/>
        <v>-5.4180000000000001</v>
      </c>
      <c r="K438" s="54">
        <f t="shared" si="76"/>
        <v>2.1820000000000004</v>
      </c>
      <c r="L438" s="54">
        <f t="shared" si="76"/>
        <v>4.6219999999999999</v>
      </c>
      <c r="M438" s="54">
        <f t="shared" si="76"/>
        <v>-0.88500000000000001</v>
      </c>
      <c r="N438" s="54">
        <f t="shared" si="76"/>
        <v>-1.2139999999999997</v>
      </c>
      <c r="O438" s="54">
        <f t="shared" si="76"/>
        <v>3.165</v>
      </c>
      <c r="P438" s="54">
        <f t="shared" si="76"/>
        <v>-4.1999999999999993</v>
      </c>
      <c r="Q438" s="54">
        <f t="shared" si="76"/>
        <v>5.4140000000000006</v>
      </c>
      <c r="R438" s="54">
        <f t="shared" si="76"/>
        <v>2.3560000000000003</v>
      </c>
      <c r="S438" s="54">
        <f t="shared" si="76"/>
        <v>-3.0469999999999997</v>
      </c>
    </row>
    <row r="439" spans="1:19" x14ac:dyDescent="0.2">
      <c r="A439" s="31" t="s">
        <v>694</v>
      </c>
      <c r="F439" s="54">
        <f>SUM(F$435,F$438)</f>
        <v>-2.7919999999999998</v>
      </c>
      <c r="G439" s="54">
        <f>SUM(G$435,G$438)</f>
        <v>-2.0570000000000004</v>
      </c>
      <c r="H439" s="54">
        <f>SUM(H$435,H$438)</f>
        <v>8.6390000000000011</v>
      </c>
      <c r="I439" s="54">
        <f>SUM(I$435,I$438)</f>
        <v>8.9999999999999982</v>
      </c>
      <c r="J439" s="54">
        <f t="shared" ref="J439:S439" si="77">SUM(J$435,J$438)</f>
        <v>13.343000000000004</v>
      </c>
      <c r="K439" s="54">
        <f t="shared" si="77"/>
        <v>10.644</v>
      </c>
      <c r="L439" s="54">
        <f t="shared" si="77"/>
        <v>5.742</v>
      </c>
      <c r="M439" s="54">
        <f t="shared" si="77"/>
        <v>4.109</v>
      </c>
      <c r="N439" s="54">
        <f t="shared" si="77"/>
        <v>1.8270000000000002</v>
      </c>
      <c r="O439" s="54">
        <f t="shared" si="77"/>
        <v>5.3979999999999997</v>
      </c>
      <c r="P439" s="54">
        <f t="shared" si="77"/>
        <v>4.6620000000000008</v>
      </c>
      <c r="Q439" s="54">
        <f t="shared" si="77"/>
        <v>2.7790000000000008</v>
      </c>
      <c r="R439" s="54">
        <f t="shared" si="77"/>
        <v>-0.52299999999999969</v>
      </c>
      <c r="S439" s="54">
        <f t="shared" si="77"/>
        <v>-1.9299999999999997</v>
      </c>
    </row>
    <row r="440" spans="1:19" x14ac:dyDescent="0.2">
      <c r="A440" s="32"/>
    </row>
  </sheetData>
  <hyperlinks>
    <hyperlink ref="F3" r:id="rId1"/>
  </hyperlinks>
  <pageMargins left="0.7" right="0.7" top="0.75" bottom="0.75" header="0.3" footer="0.3"/>
  <pageSetup paperSize="9" orientation="portrait"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0"/>
  <sheetViews>
    <sheetView topLeftCell="L1" zoomScale="90" zoomScaleNormal="90" workbookViewId="0">
      <selection activeCell="T16" sqref="T16"/>
    </sheetView>
  </sheetViews>
  <sheetFormatPr defaultColWidth="8.7109375" defaultRowHeight="12.75" x14ac:dyDescent="0.2"/>
  <cols>
    <col min="1" max="9" width="8.7109375" style="3"/>
    <col min="10" max="10" width="8.7109375" style="3" customWidth="1"/>
    <col min="11" max="16384" width="8.7109375" style="3"/>
  </cols>
  <sheetData>
    <row r="1" spans="1:29" ht="15.75" x14ac:dyDescent="0.25">
      <c r="A1" s="1" t="s">
        <v>885</v>
      </c>
    </row>
    <row r="2" spans="1:29" x14ac:dyDescent="0.2">
      <c r="A2" s="4" t="s">
        <v>1167</v>
      </c>
      <c r="J2" s="4"/>
    </row>
    <row r="3" spans="1:29" x14ac:dyDescent="0.2">
      <c r="A3" s="4" t="s">
        <v>133</v>
      </c>
    </row>
    <row r="4" spans="1:29" x14ac:dyDescent="0.2">
      <c r="A4" s="4"/>
    </row>
    <row r="5" spans="1:29" x14ac:dyDescent="0.2">
      <c r="A5" s="2" t="s">
        <v>100</v>
      </c>
      <c r="E5" s="8" t="s">
        <v>42</v>
      </c>
      <c r="F5" s="8" t="s">
        <v>43</v>
      </c>
      <c r="G5" s="8" t="s">
        <v>44</v>
      </c>
      <c r="H5" s="8" t="s">
        <v>45</v>
      </c>
      <c r="I5" s="8" t="s">
        <v>46</v>
      </c>
      <c r="J5" s="8" t="s">
        <v>47</v>
      </c>
      <c r="K5" s="8" t="s">
        <v>48</v>
      </c>
      <c r="L5" s="8" t="s">
        <v>49</v>
      </c>
      <c r="M5" s="8" t="s">
        <v>50</v>
      </c>
      <c r="N5" s="8" t="s">
        <v>51</v>
      </c>
      <c r="O5" s="8" t="s">
        <v>52</v>
      </c>
      <c r="P5" s="8" t="s">
        <v>53</v>
      </c>
      <c r="Q5" s="8" t="s">
        <v>54</v>
      </c>
      <c r="R5" s="8" t="s">
        <v>55</v>
      </c>
      <c r="S5" s="8" t="s">
        <v>56</v>
      </c>
      <c r="T5" s="8" t="s">
        <v>57</v>
      </c>
      <c r="U5" s="8" t="s">
        <v>58</v>
      </c>
      <c r="V5" s="8" t="s">
        <v>59</v>
      </c>
      <c r="W5" s="8" t="s">
        <v>60</v>
      </c>
      <c r="X5" s="8" t="s">
        <v>61</v>
      </c>
      <c r="Y5" s="8" t="s">
        <v>62</v>
      </c>
      <c r="Z5" s="8" t="s">
        <v>63</v>
      </c>
      <c r="AA5" s="8" t="s">
        <v>64</v>
      </c>
      <c r="AB5" s="8" t="s">
        <v>65</v>
      </c>
      <c r="AC5" s="8" t="s">
        <v>66</v>
      </c>
    </row>
    <row r="6" spans="1:29" x14ac:dyDescent="0.2">
      <c r="E6" s="7">
        <v>2006</v>
      </c>
      <c r="F6" s="7">
        <v>2007</v>
      </c>
      <c r="G6" s="7">
        <v>2008</v>
      </c>
      <c r="H6" s="7">
        <v>2009</v>
      </c>
      <c r="I6" s="7">
        <v>2010</v>
      </c>
      <c r="J6" s="7">
        <v>2011</v>
      </c>
      <c r="K6" s="7">
        <v>2012</v>
      </c>
      <c r="L6" s="7">
        <v>2013</v>
      </c>
      <c r="M6" s="7">
        <v>2014</v>
      </c>
      <c r="N6" s="7">
        <v>2015</v>
      </c>
      <c r="O6" s="7">
        <v>2016</v>
      </c>
      <c r="P6" s="7">
        <v>2017</v>
      </c>
      <c r="Q6" s="7">
        <v>2018</v>
      </c>
      <c r="R6" s="7">
        <v>2019</v>
      </c>
      <c r="S6" s="7">
        <v>2020</v>
      </c>
      <c r="T6" s="7">
        <v>2021</v>
      </c>
      <c r="U6" s="7">
        <v>2022</v>
      </c>
      <c r="V6" s="7">
        <v>2023</v>
      </c>
      <c r="W6" s="7">
        <v>2024</v>
      </c>
      <c r="X6" s="7">
        <v>2025</v>
      </c>
      <c r="Y6" s="7">
        <v>2026</v>
      </c>
      <c r="Z6" s="7">
        <v>2027</v>
      </c>
      <c r="AA6" s="7">
        <v>2028</v>
      </c>
      <c r="AB6" s="7">
        <v>2029</v>
      </c>
      <c r="AC6" s="7">
        <v>2030</v>
      </c>
    </row>
    <row r="7" spans="1:29" x14ac:dyDescent="0.2">
      <c r="E7" s="7"/>
      <c r="F7" s="7"/>
      <c r="G7" s="7"/>
      <c r="H7" s="7"/>
      <c r="J7" s="3" t="s">
        <v>868</v>
      </c>
      <c r="K7" s="7"/>
      <c r="L7" s="7"/>
      <c r="M7" s="7"/>
      <c r="N7" s="95"/>
      <c r="O7" s="95">
        <f ca="1">OFFSET('Fiscal Forecasts'!$I$257,0,O$6-'Fiscal Forecasts'!$I$7)/AVERAGE(OFFSET('Fiscal Forecasts'!$I$150,0,O$6-'Fiscal Forecasts'!$I$7-1),OFFSET('Fiscal Forecasts'!$I$150,0,O$6-'Fiscal Forecasts'!$I$7))</f>
        <v>3.7741497581798192E-2</v>
      </c>
      <c r="P7" s="95">
        <f ca="1">OFFSET('Fiscal Forecasts'!$I$257,0,P$6-'Fiscal Forecasts'!$I$7)/AVERAGE(OFFSET('Fiscal Forecasts'!$I$150,0,P$6-'Fiscal Forecasts'!$I$7-1),OFFSET('Fiscal Forecasts'!$I$150,0,P$6-'Fiscal Forecasts'!$I$7))</f>
        <v>3.8538919816388323E-2</v>
      </c>
      <c r="Q7" s="95">
        <f ca="1">OFFSET('Fiscal Forecasts'!$I$257,0,Q$6-'Fiscal Forecasts'!$I$7)/AVERAGE(OFFSET('Fiscal Forecasts'!$I$150,0,Q$6-'Fiscal Forecasts'!$I$7-1),OFFSET('Fiscal Forecasts'!$I$150,0,Q$6-'Fiscal Forecasts'!$I$7))</f>
        <v>3.8465190474381863E-2</v>
      </c>
      <c r="R7" s="95">
        <f ca="1">OFFSET('Fiscal Forecasts'!$I$257,0,R$6-'Fiscal Forecasts'!$I$7)/AVERAGE(OFFSET('Fiscal Forecasts'!$I$150,0,R$6-'Fiscal Forecasts'!$I$7-1),OFFSET('Fiscal Forecasts'!$I$150,0,R$6-'Fiscal Forecasts'!$I$7))</f>
        <v>4.1198063105279605E-2</v>
      </c>
      <c r="S7" s="95">
        <f ca="1">OFFSET('Fiscal Forecasts'!$I$257,0,S$6-'Fiscal Forecasts'!$I$7)/AVERAGE(OFFSET('Fiscal Forecasts'!$I$150,0,S$6-'Fiscal Forecasts'!$I$7-1),OFFSET('Fiscal Forecasts'!$I$150,0,S$6-'Fiscal Forecasts'!$I$7))</f>
        <v>4.2610128637135064E-2</v>
      </c>
      <c r="U7" s="7"/>
      <c r="V7" s="7"/>
      <c r="W7" s="7"/>
      <c r="X7" s="7"/>
      <c r="Y7" s="7"/>
      <c r="Z7" s="7"/>
      <c r="AA7" s="7"/>
      <c r="AB7" s="7"/>
    </row>
    <row r="8" spans="1:29" x14ac:dyDescent="0.2">
      <c r="E8" s="7"/>
      <c r="F8" s="7"/>
      <c r="G8" s="7"/>
      <c r="H8" s="7"/>
      <c r="J8" s="3" t="s">
        <v>872</v>
      </c>
      <c r="K8" s="3" t="s">
        <v>1174</v>
      </c>
      <c r="N8" s="96"/>
      <c r="O8" s="96">
        <f ca="1">ROUND(O$7/2*(1+O$7/2)*(O$22-Tracks!O$11),3)</f>
        <v>0</v>
      </c>
      <c r="P8" s="96">
        <f ca="1">ROUND(P$7/2*(1+P$7/2)*(P$22-Tracks!P$11),3)</f>
        <v>0</v>
      </c>
      <c r="Q8" s="96">
        <f ca="1">ROUND(Q$7/2*(1+Q$7/2)*(Q$22-Tracks!Q$11),3)</f>
        <v>0</v>
      </c>
      <c r="R8" s="96">
        <f ca="1">ROUND(R$7/2*(1+R$7/2)*(R$22-Tracks!R$11),3)</f>
        <v>0</v>
      </c>
      <c r="S8" s="96">
        <f ca="1">ROUND(S$7/2*(1+S$7/2)*(S$22-Tracks!S$11),3)</f>
        <v>0</v>
      </c>
      <c r="U8" s="7"/>
      <c r="V8" s="7"/>
      <c r="W8" s="7"/>
      <c r="X8" s="7"/>
      <c r="Y8" s="7"/>
      <c r="Z8" s="7"/>
      <c r="AA8" s="7"/>
      <c r="AB8" s="7"/>
    </row>
    <row r="9" spans="1:29" x14ac:dyDescent="0.2">
      <c r="E9" s="7"/>
      <c r="F9" s="7"/>
      <c r="G9" s="7"/>
      <c r="H9" s="7"/>
      <c r="J9" s="3" t="s">
        <v>872</v>
      </c>
      <c r="K9" s="3" t="s">
        <v>874</v>
      </c>
      <c r="N9" s="96"/>
      <c r="O9" s="96">
        <f ca="1">ROUND(O$7*SUM($M$11:N$11),3)</f>
        <v>0</v>
      </c>
      <c r="P9" s="96">
        <f ca="1">ROUND(P$7*SUM($M$11:O$11),3)</f>
        <v>0</v>
      </c>
      <c r="Q9" s="96">
        <f ca="1">ROUND(Q$7*SUM($M$11:P$11),3)</f>
        <v>0</v>
      </c>
      <c r="R9" s="96">
        <f ca="1">ROUND(R$7*SUM($M$11:Q$11),3)</f>
        <v>0</v>
      </c>
      <c r="S9" s="96">
        <f ca="1">ROUND(S$7*SUM($M$11:R$11),3)</f>
        <v>0</v>
      </c>
      <c r="U9" s="7"/>
      <c r="V9" s="7"/>
      <c r="W9" s="7"/>
      <c r="X9" s="7"/>
      <c r="Y9" s="7"/>
      <c r="Z9" s="7"/>
      <c r="AA9" s="7"/>
      <c r="AB9" s="7"/>
    </row>
    <row r="10" spans="1:29" x14ac:dyDescent="0.2">
      <c r="E10" s="7"/>
      <c r="F10" s="7"/>
      <c r="G10" s="7"/>
      <c r="H10" s="7"/>
      <c r="J10" s="5" t="s">
        <v>875</v>
      </c>
      <c r="N10" s="97"/>
      <c r="O10" s="97">
        <f ca="1">SUM(O$8:O$9)</f>
        <v>0</v>
      </c>
      <c r="P10" s="97">
        <f ca="1">SUM(P$8:P$9)</f>
        <v>0</v>
      </c>
      <c r="Q10" s="97">
        <f ca="1">SUM(Q$8:Q$9)</f>
        <v>0</v>
      </c>
      <c r="R10" s="97">
        <f ca="1">SUM(R$8:R$9)</f>
        <v>0</v>
      </c>
      <c r="S10" s="97">
        <f ca="1">SUM(S$8:S$9)</f>
        <v>0</v>
      </c>
      <c r="U10" s="7"/>
      <c r="V10" s="7"/>
      <c r="W10" s="7"/>
      <c r="X10" s="7"/>
      <c r="Y10" s="7"/>
      <c r="Z10" s="7"/>
      <c r="AA10" s="7"/>
      <c r="AB10" s="7"/>
    </row>
    <row r="11" spans="1:29" x14ac:dyDescent="0.2">
      <c r="E11" s="7"/>
      <c r="F11" s="7"/>
      <c r="G11" s="7"/>
      <c r="H11" s="7"/>
      <c r="J11" s="3" t="s">
        <v>876</v>
      </c>
      <c r="K11" s="3" t="s">
        <v>878</v>
      </c>
      <c r="N11" s="96"/>
      <c r="O11" s="96">
        <f ca="1">ROUND(SUM(O$22-Tracks!O$11,O$10),3)</f>
        <v>0</v>
      </c>
      <c r="P11" s="96">
        <f ca="1">ROUND(SUM(P$22-Tracks!P$11,P$10),3)</f>
        <v>0</v>
      </c>
      <c r="Q11" s="96">
        <f ca="1">ROUND(SUM(Q$22-Tracks!Q$11,Q$10),3)</f>
        <v>0</v>
      </c>
      <c r="R11" s="96">
        <f ca="1">ROUND(SUM(R$22-Tracks!R$11,R$10),3)</f>
        <v>0</v>
      </c>
      <c r="S11" s="96">
        <f ca="1">ROUND(SUM(S$22-Tracks!S$11,S$10),3)</f>
        <v>0</v>
      </c>
      <c r="U11" s="7"/>
      <c r="V11" s="7"/>
      <c r="W11" s="7"/>
      <c r="X11" s="7"/>
      <c r="Y11" s="7"/>
      <c r="Z11" s="7"/>
      <c r="AA11" s="7"/>
      <c r="AB11" s="7"/>
    </row>
    <row r="12" spans="1:29" x14ac:dyDescent="0.2">
      <c r="E12" s="7"/>
      <c r="F12" s="7"/>
      <c r="G12" s="7"/>
      <c r="H12" s="7"/>
      <c r="J12" s="5" t="s">
        <v>879</v>
      </c>
      <c r="N12" s="97"/>
      <c r="O12" s="97">
        <f ca="1">SUM($N$11:O$11)</f>
        <v>0</v>
      </c>
      <c r="P12" s="97">
        <f ca="1">SUM($N$11:P$11)</f>
        <v>0</v>
      </c>
      <c r="Q12" s="97">
        <f ca="1">SUM($N$11:Q$11)</f>
        <v>0</v>
      </c>
      <c r="R12" s="97">
        <f ca="1">SUM($N$11:R$11)</f>
        <v>0</v>
      </c>
      <c r="S12" s="97">
        <f ca="1">SUM($N$11:S$11)</f>
        <v>0</v>
      </c>
      <c r="U12" s="7"/>
      <c r="V12" s="7"/>
      <c r="W12" s="7"/>
      <c r="X12" s="7"/>
      <c r="Y12" s="7"/>
      <c r="Z12" s="7"/>
      <c r="AA12" s="7"/>
      <c r="AB12" s="7"/>
    </row>
    <row r="13" spans="1:29" x14ac:dyDescent="0.2">
      <c r="E13" s="7"/>
      <c r="F13" s="7"/>
      <c r="G13" s="7"/>
      <c r="H13" s="7"/>
      <c r="I13" s="7"/>
      <c r="K13" s="7"/>
      <c r="L13" s="7"/>
      <c r="M13" s="7"/>
      <c r="N13" s="93"/>
      <c r="O13" s="93"/>
      <c r="P13" s="93"/>
      <c r="Q13" s="93"/>
      <c r="R13" s="93"/>
      <c r="S13" s="7"/>
      <c r="U13" s="7"/>
      <c r="V13" s="7"/>
      <c r="W13" s="7"/>
      <c r="X13" s="7"/>
      <c r="Y13" s="7"/>
      <c r="Z13" s="7"/>
      <c r="AA13" s="7"/>
      <c r="AB13" s="7"/>
    </row>
    <row r="14" spans="1:29" x14ac:dyDescent="0.2">
      <c r="E14" s="7"/>
      <c r="F14" s="7"/>
      <c r="G14" s="7"/>
      <c r="H14" s="7"/>
      <c r="I14" s="7"/>
      <c r="J14" s="7"/>
      <c r="L14" s="2" t="s">
        <v>891</v>
      </c>
      <c r="M14" s="7"/>
      <c r="N14" s="7"/>
      <c r="O14" s="7"/>
      <c r="P14" s="7"/>
      <c r="Q14" s="7"/>
      <c r="R14" s="7"/>
      <c r="S14" s="7"/>
      <c r="T14" s="7"/>
      <c r="U14" s="7"/>
      <c r="V14" s="7"/>
      <c r="W14" s="7"/>
      <c r="X14" s="7"/>
      <c r="Y14" s="7"/>
      <c r="Z14" s="7"/>
      <c r="AA14" s="7"/>
      <c r="AB14" s="7"/>
    </row>
    <row r="15" spans="1:29" x14ac:dyDescent="0.2">
      <c r="E15" s="7"/>
      <c r="F15" s="7"/>
      <c r="G15" s="7"/>
      <c r="H15" s="7"/>
      <c r="I15" s="7"/>
      <c r="J15" s="7"/>
      <c r="L15" s="3" t="s">
        <v>503</v>
      </c>
      <c r="M15" s="24"/>
      <c r="N15" s="24"/>
      <c r="O15" s="24">
        <v>0.79800000000000004</v>
      </c>
      <c r="P15" s="24">
        <v>0.83699999999999997</v>
      </c>
      <c r="Q15" s="24">
        <v>0.91200000000000003</v>
      </c>
      <c r="R15" s="24">
        <v>0.99</v>
      </c>
      <c r="S15" s="24">
        <v>1.075</v>
      </c>
      <c r="T15" s="7"/>
      <c r="U15" s="7"/>
      <c r="V15" s="7"/>
      <c r="W15" s="7"/>
      <c r="X15" s="7"/>
      <c r="Y15" s="7"/>
      <c r="Z15" s="7"/>
      <c r="AA15" s="7"/>
      <c r="AB15" s="7"/>
    </row>
    <row r="16" spans="1:29" x14ac:dyDescent="0.2">
      <c r="E16" s="7"/>
      <c r="F16" s="7"/>
      <c r="G16" s="7"/>
      <c r="H16" s="7"/>
      <c r="I16" s="7"/>
      <c r="J16" s="7"/>
      <c r="L16" s="3" t="s">
        <v>890</v>
      </c>
      <c r="M16" s="24"/>
      <c r="N16" s="24"/>
      <c r="O16" s="24">
        <v>0.153</v>
      </c>
      <c r="P16" s="24">
        <v>0.17100000000000001</v>
      </c>
      <c r="Q16" s="24">
        <v>0.20200000000000001</v>
      </c>
      <c r="R16" s="24">
        <v>0.22700000000000001</v>
      </c>
      <c r="S16" s="24">
        <v>0.253</v>
      </c>
      <c r="T16" s="7"/>
      <c r="U16" s="7"/>
      <c r="V16" s="7"/>
      <c r="W16" s="7"/>
      <c r="X16" s="7"/>
      <c r="Y16" s="7"/>
      <c r="Z16" s="7"/>
      <c r="AA16" s="7"/>
      <c r="AB16" s="7"/>
    </row>
    <row r="17" spans="1:29" x14ac:dyDescent="0.2">
      <c r="F17" s="7"/>
      <c r="G17" s="7"/>
      <c r="H17" s="7"/>
      <c r="I17" s="7"/>
      <c r="J17" s="7"/>
      <c r="L17" s="3" t="s">
        <v>347</v>
      </c>
      <c r="M17" s="24"/>
      <c r="N17" s="24"/>
      <c r="O17" s="24">
        <v>0.34</v>
      </c>
      <c r="P17" s="24">
        <v>1.9630000000000001</v>
      </c>
      <c r="Q17" s="24">
        <v>2.0939999999999999</v>
      </c>
      <c r="R17" s="24">
        <v>2.2330000000000001</v>
      </c>
      <c r="S17" s="24">
        <v>2.3809999999999998</v>
      </c>
      <c r="T17" s="7"/>
      <c r="U17" s="7"/>
      <c r="V17" s="7"/>
      <c r="W17" s="7"/>
      <c r="X17" s="7"/>
      <c r="Y17" s="7"/>
      <c r="Z17" s="7"/>
      <c r="AA17" s="7"/>
      <c r="AB17" s="7"/>
    </row>
    <row r="18" spans="1:29" x14ac:dyDescent="0.2">
      <c r="F18" s="7"/>
      <c r="G18" s="7"/>
      <c r="H18" s="7"/>
      <c r="I18" s="7"/>
      <c r="J18" s="7"/>
      <c r="L18" s="2" t="s">
        <v>892</v>
      </c>
      <c r="M18" s="25"/>
      <c r="N18" s="25"/>
      <c r="O18" s="25">
        <f>O$15-O$16+O$17</f>
        <v>0.9850000000000001</v>
      </c>
      <c r="P18" s="25">
        <f>P$15-P$16+P$17</f>
        <v>2.629</v>
      </c>
      <c r="Q18" s="25">
        <f>Q$15-Q$16+Q$17</f>
        <v>2.8039999999999998</v>
      </c>
      <c r="R18" s="25">
        <f>R$15-R$16+R$17</f>
        <v>2.996</v>
      </c>
      <c r="S18" s="25">
        <f>S$15-S$16+S$17</f>
        <v>3.2029999999999998</v>
      </c>
      <c r="T18" s="7"/>
      <c r="U18" s="7"/>
      <c r="V18" s="7"/>
      <c r="W18" s="7"/>
      <c r="X18" s="7"/>
      <c r="Y18" s="7"/>
      <c r="Z18" s="7"/>
      <c r="AA18" s="7"/>
      <c r="AB18" s="7"/>
    </row>
    <row r="19" spans="1:29" x14ac:dyDescent="0.2">
      <c r="F19" s="7"/>
      <c r="G19" s="7"/>
      <c r="H19" s="7"/>
      <c r="I19" s="7"/>
      <c r="J19" s="7"/>
      <c r="L19" s="7"/>
      <c r="M19" s="25"/>
      <c r="N19" s="24"/>
      <c r="O19" s="25"/>
      <c r="P19" s="25"/>
      <c r="Q19" s="25"/>
      <c r="R19" s="25"/>
      <c r="S19" s="7"/>
      <c r="T19" s="7"/>
      <c r="U19" s="7"/>
      <c r="V19" s="7"/>
      <c r="W19" s="7"/>
      <c r="X19" s="7"/>
      <c r="Y19" s="7"/>
      <c r="Z19" s="7"/>
      <c r="AA19" s="7"/>
      <c r="AB19" s="7"/>
    </row>
    <row r="20" spans="1:29" x14ac:dyDescent="0.2">
      <c r="A20" s="2" t="s">
        <v>810</v>
      </c>
      <c r="F20" s="20" t="s">
        <v>126</v>
      </c>
      <c r="G20" s="11"/>
      <c r="H20" s="7"/>
      <c r="I20" s="7"/>
      <c r="J20" s="7"/>
      <c r="K20" s="7"/>
      <c r="L20" s="7"/>
      <c r="M20" s="4" t="s">
        <v>888</v>
      </c>
      <c r="N20" s="4"/>
      <c r="O20" s="4"/>
      <c r="P20" s="94">
        <v>3</v>
      </c>
      <c r="Q20" s="7"/>
      <c r="R20" s="7"/>
      <c r="S20" s="7"/>
      <c r="T20" s="7"/>
      <c r="U20" s="7"/>
      <c r="V20" s="7"/>
      <c r="W20" s="7"/>
      <c r="X20" s="7"/>
      <c r="Y20" s="7"/>
      <c r="Z20" s="7"/>
      <c r="AA20" s="7"/>
      <c r="AB20" s="7"/>
    </row>
    <row r="21" spans="1:29" x14ac:dyDescent="0.2">
      <c r="A21" s="2" t="str">
        <f>$A$5</f>
        <v>Year (1 July to following 30 June)</v>
      </c>
      <c r="E21" s="7" t="str">
        <f>E$5</f>
        <v>05/06</v>
      </c>
      <c r="F21" s="7" t="str">
        <f t="shared" ref="F21:AC21" si="0">F$5</f>
        <v>06/07</v>
      </c>
      <c r="G21" s="7" t="str">
        <f t="shared" si="0"/>
        <v>07/08</v>
      </c>
      <c r="H21" s="7" t="str">
        <f t="shared" si="0"/>
        <v>08/09</v>
      </c>
      <c r="I21" s="7" t="str">
        <f t="shared" si="0"/>
        <v>09/10</v>
      </c>
      <c r="J21" s="7" t="str">
        <f t="shared" si="0"/>
        <v>10/11</v>
      </c>
      <c r="K21" s="7" t="str">
        <f t="shared" si="0"/>
        <v>11/12</v>
      </c>
      <c r="L21" s="7" t="str">
        <f t="shared" si="0"/>
        <v>12/13</v>
      </c>
      <c r="M21" s="7" t="str">
        <f t="shared" si="0"/>
        <v>13/14</v>
      </c>
      <c r="N21" s="7" t="str">
        <f t="shared" si="0"/>
        <v>14/15</v>
      </c>
      <c r="O21" s="7" t="str">
        <f t="shared" si="0"/>
        <v>15/16</v>
      </c>
      <c r="P21" s="7" t="str">
        <f t="shared" si="0"/>
        <v>16/17</v>
      </c>
      <c r="Q21" s="7" t="str">
        <f t="shared" si="0"/>
        <v>17/18</v>
      </c>
      <c r="R21" s="7" t="str">
        <f t="shared" si="0"/>
        <v>18/19</v>
      </c>
      <c r="S21" s="7" t="str">
        <f t="shared" si="0"/>
        <v>19/20</v>
      </c>
      <c r="T21" s="7" t="str">
        <f t="shared" si="0"/>
        <v>20/21</v>
      </c>
      <c r="U21" s="7" t="str">
        <f t="shared" si="0"/>
        <v>21/22</v>
      </c>
      <c r="V21" s="7" t="str">
        <f t="shared" si="0"/>
        <v>22/23</v>
      </c>
      <c r="W21" s="7" t="str">
        <f t="shared" si="0"/>
        <v>23/24</v>
      </c>
      <c r="X21" s="7" t="str">
        <f t="shared" si="0"/>
        <v>24/25</v>
      </c>
      <c r="Y21" s="7" t="str">
        <f t="shared" si="0"/>
        <v>25/26</v>
      </c>
      <c r="Z21" s="7" t="str">
        <f t="shared" si="0"/>
        <v>26/27</v>
      </c>
      <c r="AA21" s="7" t="str">
        <f t="shared" si="0"/>
        <v>27/28</v>
      </c>
      <c r="AB21" s="7" t="str">
        <f t="shared" si="0"/>
        <v>28/29</v>
      </c>
      <c r="AC21" s="7" t="str">
        <f t="shared" si="0"/>
        <v>29/30</v>
      </c>
    </row>
    <row r="22" spans="1:29" x14ac:dyDescent="0.2">
      <c r="A22" s="3" t="s">
        <v>127</v>
      </c>
      <c r="F22" s="21">
        <v>2.048</v>
      </c>
      <c r="G22" s="21">
        <v>2.1040000000000001</v>
      </c>
      <c r="H22" s="21">
        <v>2.2429999999999999</v>
      </c>
      <c r="I22" s="21">
        <v>0.25</v>
      </c>
      <c r="J22" s="21">
        <v>0</v>
      </c>
      <c r="K22" s="21">
        <v>0</v>
      </c>
      <c r="L22" s="21">
        <v>0</v>
      </c>
      <c r="M22" s="21">
        <v>0</v>
      </c>
      <c r="N22" s="21">
        <v>0</v>
      </c>
      <c r="O22" s="24">
        <f>IF($P$20=1,O$31,IF($P$20=2,O$38,IF($P$20=3,O$45,Tracks!O$11)))</f>
        <v>0</v>
      </c>
      <c r="P22" s="24">
        <f>IF($P$20=1,P$31,IF($P$20=2,P$38,IF($P$20=3,P$45,Tracks!P$11)))</f>
        <v>0</v>
      </c>
      <c r="Q22" s="24">
        <f>IF($P$20=1,Q$31,IF($P$20=2,Q$38,IF($P$20=3,Q$45,Tracks!Q$11)))</f>
        <v>0</v>
      </c>
      <c r="R22" s="24">
        <f>IF($P$20=1,R$31,IF($P$20=2,R$38,IF($P$20=3,R$45,Tracks!R$11)))</f>
        <v>0</v>
      </c>
      <c r="S22" s="24">
        <f>IF($P$20=1,S$31,IF($P$20=2,S$38,IF($P$20=3,S$45,Tracks!S$11)))</f>
        <v>0</v>
      </c>
      <c r="T22" s="26">
        <f>IF($P$20=1,T$31,IF($P$20=2,T$38,IF($P$20=3,T$45,Tracks!T$11)))</f>
        <v>0</v>
      </c>
      <c r="U22" s="26">
        <f>IF($P$20=1,U$31,IF($P$20=2,U$38,IF($P$20=3,U$45,Tracks!U$11)))</f>
        <v>0</v>
      </c>
      <c r="V22" s="26">
        <f>IF($P$20=1,V$31,IF($P$20=2,V$38,IF($P$20=3,V$45,Tracks!V$11)))</f>
        <v>2.7480000000000002</v>
      </c>
      <c r="W22" s="26">
        <f>IF($P$20=1,W$31,IF($P$20=2,W$38,IF($P$20=3,W$45,Tracks!W$11)))</f>
        <v>2.5680000000000001</v>
      </c>
      <c r="X22" s="26">
        <f>IF($P$20=1,X$31,IF($P$20=2,X$38,IF($P$20=3,X$45,Tracks!X$11)))</f>
        <v>2.37</v>
      </c>
      <c r="Y22" s="26">
        <f>IF($P$20=1,Y$31,IF($P$20=2,Y$38,IF($P$20=3,Y$45,Tracks!Y$11)))</f>
        <v>2.12</v>
      </c>
      <c r="Z22" s="26">
        <f>IF($P$20=1,Z$31,IF($P$20=2,Z$38,IF($P$20=3,Z$45,Tracks!Z$11)))</f>
        <v>1.825</v>
      </c>
      <c r="AA22" s="26">
        <f>IF($P$20=1,AA$31,IF($P$20=2,AA$38,IF($P$20=3,AA$45,Tracks!AA$11)))</f>
        <v>1.52</v>
      </c>
      <c r="AB22" s="26">
        <f>IF($P$20=1,AB$31,IF($P$20=2,AB$38,IF($P$20=3,AB$45,Tracks!AB$11)))</f>
        <v>1.212</v>
      </c>
      <c r="AC22" s="26">
        <f>IF($P$20=1,AC$31,IF($P$20=2,AC$38,IF($P$20=3,AC$45,Tracks!AC$11)))</f>
        <v>0.94099999999999995</v>
      </c>
    </row>
    <row r="23" spans="1:29" x14ac:dyDescent="0.2">
      <c r="A23" s="3" t="s">
        <v>503</v>
      </c>
      <c r="C23" s="2"/>
      <c r="F23" s="21">
        <v>0.436</v>
      </c>
      <c r="G23" s="21">
        <v>0.38500000000000001</v>
      </c>
      <c r="H23" s="21">
        <v>0.38300000000000001</v>
      </c>
      <c r="I23" s="21">
        <v>0.433</v>
      </c>
      <c r="J23" s="21">
        <v>0.51800000000000002</v>
      </c>
      <c r="K23" s="21">
        <v>0.53900000000000003</v>
      </c>
      <c r="L23" s="21">
        <v>0.59499999999999997</v>
      </c>
      <c r="M23" s="21">
        <v>0.76700000000000002</v>
      </c>
      <c r="N23" s="21">
        <v>0.76</v>
      </c>
      <c r="O23" s="24">
        <f>ROUND(IF($P$20=1,O$32,IF($P$20=2,O$39,IF($P$20=3,O$46,O$18)))*O$15/O$18,3)</f>
        <v>0.79800000000000004</v>
      </c>
      <c r="P23" s="24">
        <f>ROUND(IF($P$20=1,P$32,IF($P$20=2,P$39,IF($P$20=3,P$46,P$18)))*P$15/P$18,3)</f>
        <v>0.83699999999999997</v>
      </c>
      <c r="Q23" s="24">
        <f>ROUND(IF($P$20=1,Q$32,IF($P$20=2,Q$39,IF($P$20=3,Q$46,Q$18)))*Q$15/Q$18,3)</f>
        <v>0.91200000000000003</v>
      </c>
      <c r="R23" s="24">
        <f>ROUND(IF($P$20=1,R$32,IF($P$20=2,R$39,IF($P$20=3,R$46,R$18)))*R$15/R$18,3)</f>
        <v>0.99</v>
      </c>
      <c r="S23" s="24">
        <f>ROUND(IF($P$20=1,S$32,IF($P$20=2,S$39,IF($P$20=3,S$46,S$18)))*S$15/S$18,3)</f>
        <v>1.075</v>
      </c>
      <c r="T23" s="26">
        <f>ROUND(S$23*IF($P$20=1,T$32/S$32,IF($P$20=2,T$39/S$39,IF($P$20=3,T$46/S$46,Tracks!T$12/Tracks!S$12))),3)</f>
        <v>0.97199999999999998</v>
      </c>
      <c r="U23" s="26">
        <f>ROUND(T$23*IF($P$20=1,U$32/T$32,IF($P$20=2,U$39/T$39,IF($P$20=3,U$46/T$46,Tracks!U$12/Tracks!T$12))),3)</f>
        <v>1.0549999999999999</v>
      </c>
      <c r="V23" s="26">
        <f>ROUND(U$23*IF($P$20=1,V$32/U$32,IF($P$20=2,V$39/U$39,IF($P$20=3,V$46/U$46,Tracks!V$12/Tracks!U$12))),3)</f>
        <v>1.17</v>
      </c>
      <c r="W23" s="26">
        <f>ROUND(V$23*IF($P$20=1,W$32/V$32,IF($P$20=2,W$39/V$39,IF($P$20=3,W$46/V$46,Tracks!W$12/Tracks!V$12))),3)</f>
        <v>1.3080000000000001</v>
      </c>
      <c r="X23" s="26">
        <f>ROUND(W$23*IF($P$20=1,X$32/W$32,IF($P$20=2,X$39/W$39,IF($P$20=3,X$46/W$46,Tracks!X$12/Tracks!W$12))),3)</f>
        <v>1.45</v>
      </c>
      <c r="Y23" s="26">
        <f>ROUND(X$23*IF($P$20=1,Y$32/X$32,IF($P$20=2,Y$39/X$39,IF($P$20=3,Y$46/X$46,Tracks!Y$12/Tracks!X$12))),3)</f>
        <v>1.5940000000000001</v>
      </c>
      <c r="Z23" s="26">
        <f>ROUND(Y$23*IF($P$20=1,Z$32/Y$32,IF($P$20=2,Z$39/Y$39,IF($P$20=3,Z$46/Y$46,Tracks!Z$12/Tracks!Y$12))),3)</f>
        <v>1.74</v>
      </c>
      <c r="AA23" s="26">
        <f>ROUND(Z$23*IF($P$20=1,AA$32/Z$32,IF($P$20=2,AA$39/Z$39,IF($P$20=3,AA$46/Z$46,Tracks!AA$12/Tracks!Z$12))),3)</f>
        <v>1.887</v>
      </c>
      <c r="AB23" s="26">
        <f>ROUND(AA$23*IF($P$20=1,AB$32/AA$32,IF($P$20=2,AB$39/AA$39,IF($P$20=3,AB$46/AA$46,Tracks!AB$12/Tracks!AA$12))),3)</f>
        <v>2.0350000000000001</v>
      </c>
      <c r="AC23" s="26">
        <f>ROUND(AB$23*IF($P$20=1,AC$32/AB$32,IF($P$20=2,AC$39/AB$39,IF($P$20=3,AC$46/AB$46,Tracks!AC$12/Tracks!AB$12))),3)</f>
        <v>2.1840000000000002</v>
      </c>
    </row>
    <row r="24" spans="1:29" x14ac:dyDescent="0.2">
      <c r="A24" s="3" t="s">
        <v>129</v>
      </c>
      <c r="F24" s="21">
        <v>0.70699999999999996</v>
      </c>
      <c r="G24" s="22">
        <v>0.23699999999999999</v>
      </c>
      <c r="H24" s="22">
        <v>4.0000000000000001E-3</v>
      </c>
      <c r="I24" s="22">
        <v>-2.7E-2</v>
      </c>
      <c r="J24" s="22">
        <v>0.872</v>
      </c>
      <c r="K24" s="22">
        <v>0.16</v>
      </c>
      <c r="L24" s="22">
        <v>0.98299999999999998</v>
      </c>
      <c r="M24" s="21">
        <v>1.0740000000000001</v>
      </c>
      <c r="N24" s="21">
        <v>4.5999999999999999E-2</v>
      </c>
      <c r="O24" s="24">
        <f>IF($P$20=1,O$33,IF($P$20=2,O$40,IF($P$20=3,O$47,Tracks!O$13)))</f>
        <v>0.22700000000000001</v>
      </c>
      <c r="P24" s="24">
        <f>IF($P$20=1,P$33,IF($P$20=2,P$40,IF($P$20=3,P$47,Tracks!P$13)))</f>
        <v>0.629</v>
      </c>
      <c r="Q24" s="24">
        <f>IF($P$20=1,Q$33,IF($P$20=2,Q$40,IF($P$20=3,Q$47,Tracks!Q$13)))</f>
        <v>0.67200000000000004</v>
      </c>
      <c r="R24" s="24">
        <f>IF($P$20=1,R$33,IF($P$20=2,R$40,IF($P$20=3,R$47,Tracks!R$13)))</f>
        <v>0.72</v>
      </c>
      <c r="S24" s="24">
        <f>IF($P$20=1,S$33,IF($P$20=2,S$40,IF($P$20=3,S$47,Tracks!S$13)))</f>
        <v>0.77200000000000002</v>
      </c>
      <c r="T24" s="26">
        <f>IF($P$20=1,T$33,IF($P$20=2,T$40,IF($P$20=3,T$47,Tracks!T$13)))</f>
        <v>0.69519146399999965</v>
      </c>
      <c r="U24" s="26">
        <f>IF($P$20=1,U$33,IF($P$20=2,U$40,IF($P$20=3,U$47,Tracks!U$13)))</f>
        <v>0.75472629831615656</v>
      </c>
      <c r="V24" s="26">
        <f>IF($P$20=1,V$33,IF($P$20=2,V$40,IF($P$20=3,V$47,Tracks!V$13)))</f>
        <v>0.83677233773669613</v>
      </c>
      <c r="W24" s="26">
        <f>IF($P$20=1,W$33,IF($P$20=2,W$40,IF($P$20=3,W$47,Tracks!W$13)))</f>
        <v>0.93576455983985207</v>
      </c>
      <c r="X24" s="26">
        <f>IF($P$20=1,X$33,IF($P$20=2,X$40,IF($P$20=3,X$47,Tracks!X$13)))</f>
        <v>1.0371626283119377</v>
      </c>
      <c r="Y24" s="26">
        <f>IF($P$20=1,Y$33,IF($P$20=2,Y$40,IF($P$20=3,Y$47,Tracks!Y$13)))</f>
        <v>1.1404779608910922</v>
      </c>
      <c r="Z24" s="26">
        <f>IF($P$20=1,Z$33,IF($P$20=2,Z$40,IF($P$20=3,Z$47,Tracks!Z$13)))</f>
        <v>1.2449252657727761</v>
      </c>
      <c r="AA24" s="26">
        <f>IF($P$20=1,AA$33,IF($P$20=2,AA$40,IF($P$20=3,AA$47,Tracks!AA$13)))</f>
        <v>1.3500482025449028</v>
      </c>
      <c r="AB24" s="26">
        <f>IF($P$20=1,AB$33,IF($P$20=2,AB$40,IF($P$20=3,AB$47,Tracks!AB$13)))</f>
        <v>1.4557637552851455</v>
      </c>
      <c r="AC24" s="26">
        <f>IF($P$20=1,AC$33,IF($P$20=2,AC$40,IF($P$20=3,AC$47,Tracks!AC$13)))</f>
        <v>1.5624036346745687</v>
      </c>
    </row>
    <row r="25" spans="1:29" x14ac:dyDescent="0.2">
      <c r="A25" s="3" t="s">
        <v>890</v>
      </c>
      <c r="F25" s="21">
        <v>-5.1999999999999998E-2</v>
      </c>
      <c r="G25" s="22">
        <v>3.4000000000000002E-2</v>
      </c>
      <c r="H25" s="22">
        <v>-0.32300000000000001</v>
      </c>
      <c r="I25" s="21">
        <v>0.502</v>
      </c>
      <c r="J25" s="21">
        <v>0.16900000000000001</v>
      </c>
      <c r="K25" s="21">
        <v>0.13200000000000001</v>
      </c>
      <c r="L25" s="21">
        <v>0.16500000000000001</v>
      </c>
      <c r="M25" s="21">
        <v>0.16400000000000001</v>
      </c>
      <c r="N25" s="21">
        <v>0.19800000000000001</v>
      </c>
      <c r="O25" s="24">
        <f>ROUND(IF($P$20=1,O$32,IF($P$20=2,O$39,IF($P$20=3,O$46,O$18)))*O$16/O$18,3)</f>
        <v>0.153</v>
      </c>
      <c r="P25" s="24">
        <f>ROUND(IF($P$20=1,P$32,IF($P$20=2,P$39,IF($P$20=3,P$46,P$18)))*P$16/P$18,3)</f>
        <v>0.17100000000000001</v>
      </c>
      <c r="Q25" s="24">
        <f>ROUND(IF($P$20=1,Q$32,IF($P$20=2,Q$39,IF($P$20=3,Q$46,Q$18)))*Q$16/Q$18,3)</f>
        <v>0.20200000000000001</v>
      </c>
      <c r="R25" s="24">
        <f>ROUND(IF($P$20=1,R$32,IF($P$20=2,R$39,IF($P$20=3,R$46,R$18)))*R$16/R$18,3)</f>
        <v>0.22700000000000001</v>
      </c>
      <c r="S25" s="24">
        <f>ROUND(IF($P$20=1,S$32,IF($P$20=2,S$39,IF($P$20=3,S$46,S$18)))*S$16/S$18,3)</f>
        <v>0.253</v>
      </c>
      <c r="T25" s="26">
        <f>ROUND(S$25*IF($P$20=1,T$32/S$32,IF($P$20=2,T$39/S$39,IF($P$20=3,T$46/S$46,Tracks!T$12/Tracks!S$12))),3)</f>
        <v>0.22900000000000001</v>
      </c>
      <c r="U25" s="26">
        <f>ROUND(T$25*IF($P$20=1,U$32/T$32,IF($P$20=2,U$39/T$39,IF($P$20=3,U$46/T$46,Tracks!U$12/Tracks!T$12))),3)</f>
        <v>0.249</v>
      </c>
      <c r="V25" s="26">
        <f>ROUND(U$25*IF($P$20=1,V$32/U$32,IF($P$20=2,V$39/U$39,IF($P$20=3,V$46/U$46,Tracks!V$12/Tracks!U$12))),3)</f>
        <v>0.27600000000000002</v>
      </c>
      <c r="W25" s="26">
        <f>ROUND(V$25*IF($P$20=1,W$32/V$32,IF($P$20=2,W$39/V$39,IF($P$20=3,W$46/V$46,Tracks!W$12/Tracks!V$12))),3)</f>
        <v>0.309</v>
      </c>
      <c r="X25" s="26">
        <f>ROUND(W$25*IF($P$20=1,X$32/W$32,IF($P$20=2,X$39/W$39,IF($P$20=3,X$46/W$46,Tracks!X$12/Tracks!W$12))),3)</f>
        <v>0.34200000000000003</v>
      </c>
      <c r="Y25" s="26">
        <f>ROUND(X$25*IF($P$20=1,Y$32/X$32,IF($P$20=2,Y$39/X$39,IF($P$20=3,Y$46/X$46,Tracks!Y$12/Tracks!X$12))),3)</f>
        <v>0.376</v>
      </c>
      <c r="Z25" s="26">
        <f>ROUND(Y$25*IF($P$20=1,Z$32/Y$32,IF($P$20=2,Z$39/Y$39,IF($P$20=3,Z$46/Y$46,Tracks!Z$12/Tracks!Y$12))),3)</f>
        <v>0.41</v>
      </c>
      <c r="AA25" s="26">
        <f>ROUND(Z$25*IF($P$20=1,AA$32/Z$32,IF($P$20=2,AA$39/Z$39,IF($P$20=3,AA$46/Z$46,Tracks!AA$12/Tracks!Z$12))),3)</f>
        <v>0.44500000000000001</v>
      </c>
      <c r="AB25" s="26">
        <f>ROUND(AA$25*IF($P$20=1,AB$32/AA$32,IF($P$20=2,AB$39/AA$39,IF($P$20=3,AB$46/AA$46,Tracks!AB$12/Tracks!AA$12))),3)</f>
        <v>0.48</v>
      </c>
      <c r="AC25" s="26">
        <f>ROUND(AB$25*IF($P$20=1,AC$32/AB$32,IF($P$20=2,AC$39/AB$39,IF($P$20=3,AC$46/AB$46,Tracks!AC$12/Tracks!AB$12))),3)</f>
        <v>0.51500000000000001</v>
      </c>
    </row>
    <row r="26" spans="1:29" x14ac:dyDescent="0.2">
      <c r="A26" s="3" t="s">
        <v>347</v>
      </c>
      <c r="F26" s="21">
        <v>1.3129999999999999</v>
      </c>
      <c r="G26" s="22">
        <v>-0.995</v>
      </c>
      <c r="H26" s="22">
        <v>-3.4950000000000001</v>
      </c>
      <c r="I26" s="21">
        <v>1.75</v>
      </c>
      <c r="J26" s="22">
        <v>3.5179999999999998</v>
      </c>
      <c r="K26" s="22">
        <v>-0.20399999999999999</v>
      </c>
      <c r="L26" s="22">
        <v>4.3739999999999997</v>
      </c>
      <c r="M26" s="22">
        <v>3.7349999999999999</v>
      </c>
      <c r="N26" s="22">
        <v>3.1560000000000001</v>
      </c>
      <c r="O26" s="24">
        <f t="shared" ref="O26:AC26" si="1">IF($P$20=1,O$32,IF($P$20=2,O$39,IF($P$20=3,O$46,O$18)))-O$23+O$25</f>
        <v>0.34000000000000008</v>
      </c>
      <c r="P26" s="24">
        <f t="shared" si="1"/>
        <v>1.9630000000000001</v>
      </c>
      <c r="Q26" s="24">
        <f t="shared" si="1"/>
        <v>2.0939999999999999</v>
      </c>
      <c r="R26" s="24">
        <f t="shared" si="1"/>
        <v>2.2330000000000001</v>
      </c>
      <c r="S26" s="24">
        <f t="shared" si="1"/>
        <v>2.3809999999999993</v>
      </c>
      <c r="T26" s="26">
        <f t="shared" si="1"/>
        <v>2.1536310999999988</v>
      </c>
      <c r="U26" s="26">
        <f t="shared" si="1"/>
        <v>2.338692909650653</v>
      </c>
      <c r="V26" s="26">
        <f t="shared" si="1"/>
        <v>2.5925514072362343</v>
      </c>
      <c r="W26" s="26">
        <f t="shared" si="1"/>
        <v>2.9000189993327172</v>
      </c>
      <c r="X26" s="26">
        <f t="shared" si="1"/>
        <v>3.2135109512997402</v>
      </c>
      <c r="Y26" s="26">
        <f t="shared" si="1"/>
        <v>3.5339915037128837</v>
      </c>
      <c r="Z26" s="26">
        <f t="shared" si="1"/>
        <v>3.8571886073865667</v>
      </c>
      <c r="AA26" s="26">
        <f t="shared" si="1"/>
        <v>4.1832008439370947</v>
      </c>
      <c r="AB26" s="26">
        <f t="shared" si="1"/>
        <v>4.5106823136881058</v>
      </c>
      <c r="AC26" s="26">
        <f t="shared" si="1"/>
        <v>4.8410151444773692</v>
      </c>
    </row>
    <row r="27" spans="1:29" x14ac:dyDescent="0.2">
      <c r="A27" s="3" t="s">
        <v>130</v>
      </c>
      <c r="F27" s="21">
        <v>-2.4E-2</v>
      </c>
      <c r="G27" s="22">
        <v>1.6E-2</v>
      </c>
      <c r="H27" s="22">
        <v>2.5999999999999999E-2</v>
      </c>
      <c r="I27" s="22">
        <v>0.01</v>
      </c>
      <c r="J27" s="22">
        <v>1E-3</v>
      </c>
      <c r="K27" s="22">
        <v>8.0000000000000002E-3</v>
      </c>
      <c r="L27" s="22">
        <v>2.5000000000000001E-2</v>
      </c>
      <c r="M27" s="22">
        <v>-4.0000000000000001E-3</v>
      </c>
      <c r="N27" s="22">
        <v>4.1000000000000002E-2</v>
      </c>
      <c r="O27" s="24">
        <f>IF($P$20=1,O$34,IF($P$20=2,O$41,IF($P$20=3,O$48,Tracks!O$14)))</f>
        <v>6.5000000000000002E-2</v>
      </c>
      <c r="P27" s="24">
        <f>IF($P$20=1,P$34,IF($P$20=2,P$41,IF($P$20=3,P$48,Tracks!P$14)))</f>
        <v>1.9E-2</v>
      </c>
      <c r="Q27" s="24">
        <f>IF($P$20=1,Q$34,IF($P$20=2,Q$41,IF($P$20=3,Q$48,Tracks!Q$14)))</f>
        <v>2.5999999999999999E-2</v>
      </c>
      <c r="R27" s="24">
        <f>IF($P$20=1,R$34,IF($P$20=2,R$41,IF($P$20=3,R$48,Tracks!R$14)))</f>
        <v>3.3000000000000002E-2</v>
      </c>
      <c r="S27" s="24">
        <f>IF($P$20=1,S$34,IF($P$20=2,S$41,IF($P$20=3,S$48,Tracks!S$14)))</f>
        <v>4.1000000000000002E-2</v>
      </c>
      <c r="T27" s="26">
        <f>IF($P$20=1,T$34,IF($P$20=2,T$41,IF($P$20=3,T$48,Tracks!T$14)))</f>
        <v>3.7078325039025903E-2</v>
      </c>
      <c r="U27" s="26">
        <f>IF($P$20=1,U$34,IF($P$20=2,U$41,IF($P$20=3,U$48,Tracks!U$14)))</f>
        <v>4.0253640117289033E-2</v>
      </c>
      <c r="V27" s="26">
        <f>IF($P$20=1,V$34,IF($P$20=2,V$41,IF($P$20=3,V$48,Tracks!V$14)))</f>
        <v>4.4629599655537186E-2</v>
      </c>
      <c r="W27" s="26">
        <f>IF($P$20=1,W$34,IF($P$20=2,W$41,IF($P$20=3,W$48,Tracks!W$14)))</f>
        <v>4.9909390875005129E-2</v>
      </c>
      <c r="X27" s="26">
        <f>IF($P$20=1,X$34,IF($P$20=2,X$41,IF($P$20=3,X$48,Tracks!X$14)))</f>
        <v>5.5317498908301392E-2</v>
      </c>
      <c r="Y27" s="26">
        <f>IF($P$20=1,Y$34,IF($P$20=2,Y$41,IF($P$20=3,Y$48,Tracks!Y$14)))</f>
        <v>6.0827865017867078E-2</v>
      </c>
      <c r="Z27" s="26">
        <f>IF($P$20=1,Z$34,IF($P$20=2,Z$41,IF($P$20=3,Z$48,Tracks!Z$14)))</f>
        <v>6.6398605339634473E-2</v>
      </c>
      <c r="AA27" s="26">
        <f>IF($P$20=1,AA$34,IF($P$20=2,AA$41,IF($P$20=3,AA$48,Tracks!AA$14)))</f>
        <v>7.200538076847357E-2</v>
      </c>
      <c r="AB27" s="26">
        <f>IF($P$20=1,AB$34,IF($P$20=2,AB$41,IF($P$20=3,AB$48,Tracks!AB$14)))</f>
        <v>7.7643763615739089E-2</v>
      </c>
      <c r="AC27" s="26">
        <f>IF($P$20=1,AC$34,IF($P$20=2,AC$41,IF($P$20=3,AC$48,Tracks!AC$14)))</f>
        <v>8.3331445808171117E-2</v>
      </c>
    </row>
    <row r="28" spans="1:29" x14ac:dyDescent="0.2">
      <c r="A28" s="3" t="s">
        <v>131</v>
      </c>
      <c r="E28" s="23">
        <v>9.8550000000000004</v>
      </c>
      <c r="F28" s="23">
        <v>12.972999999999999</v>
      </c>
      <c r="G28" s="23">
        <v>14.211999999999998</v>
      </c>
      <c r="H28" s="23">
        <v>13.687999999999997</v>
      </c>
      <c r="I28" s="23">
        <v>15.655999999999997</v>
      </c>
      <c r="J28" s="23">
        <v>18.651999999999997</v>
      </c>
      <c r="K28" s="23">
        <v>18.702999999999996</v>
      </c>
      <c r="L28" s="23">
        <v>22.548999999999992</v>
      </c>
      <c r="M28" s="23">
        <v>25.809000000000001</v>
      </c>
      <c r="N28" s="23">
        <v>29.521999999999998</v>
      </c>
      <c r="O28" s="25">
        <f>IF($P$20=1,O$35,IF($P$20=2,O$42,IF($P$20=3,O$49,Tracks!O$15)))</f>
        <v>30.344999999999992</v>
      </c>
      <c r="P28" s="25">
        <f>IF($P$20=1,P$35,IF($P$20=2,P$42,IF($P$20=3,P$49,Tracks!P$15)))</f>
        <v>32.36399999999999</v>
      </c>
      <c r="Q28" s="25">
        <f>IF($P$20=1,Q$35,IF($P$20=2,Q$42,IF($P$20=3,Q$49,Tracks!Q$15)))</f>
        <v>34.521999999999991</v>
      </c>
      <c r="R28" s="25">
        <f>IF($P$20=1,R$35,IF($P$20=2,R$42,IF($P$20=3,R$49,Tracks!R$15)))</f>
        <v>36.830999999999989</v>
      </c>
      <c r="S28" s="25">
        <f>IF($P$20=1,S$35,IF($P$20=2,S$42,IF($P$20=3,S$49,Tracks!S$15)))</f>
        <v>39.302999999999983</v>
      </c>
      <c r="T28" s="11">
        <f>IF($P$20=1,T$35,IF($P$20=2,T$42,IF($P$20=3,T$49,Tracks!T$15)))</f>
        <v>41.541517961039006</v>
      </c>
      <c r="U28" s="11">
        <f>IF($P$20=1,U$35,IF($P$20=2,U$42,IF($P$20=3,U$49,Tracks!U$15)))</f>
        <v>43.971738212490791</v>
      </c>
      <c r="V28" s="11">
        <f>IF($P$20=1,V$35,IF($P$20=2,V$42,IF($P$20=3,V$49,Tracks!V$15)))</f>
        <v>49.414146881645863</v>
      </c>
      <c r="W28" s="11">
        <f>IF($P$20=1,W$35,IF($P$20=2,W$42,IF($P$20=3,W$49,Tracks!W$15)))</f>
        <v>54.995310712013733</v>
      </c>
      <c r="X28" s="11">
        <f>IF($P$20=1,X$35,IF($P$20=2,X$42,IF($P$20=3,X$49,Tracks!X$15)))</f>
        <v>60.704976533909836</v>
      </c>
      <c r="Y28" s="11">
        <f>IF($P$20=1,Y$35,IF($P$20=2,Y$42,IF($P$20=3,Y$49,Tracks!Y$15)))</f>
        <v>66.4973179417495</v>
      </c>
      <c r="Z28" s="11">
        <f>IF($P$20=1,Z$35,IF($P$20=2,Z$42,IF($P$20=3,Z$49,Tracks!Z$15)))</f>
        <v>72.330979888702927</v>
      </c>
      <c r="AA28" s="11">
        <f>IF($P$20=1,AA$35,IF($P$20=2,AA$42,IF($P$20=3,AA$49,Tracks!AA$15)))</f>
        <v>78.198137910863593</v>
      </c>
      <c r="AB28" s="11">
        <f>IF($P$20=1,AB$35,IF($P$20=2,AB$42,IF($P$20=3,AB$49,Tracks!AB$15)))</f>
        <v>84.097700232882303</v>
      </c>
      <c r="AC28" s="11">
        <f>IF($P$20=1,AC$35,IF($P$20=2,AC$42,IF($P$20=3,AC$49,Tracks!AC$15)))</f>
        <v>90.069643188493274</v>
      </c>
    </row>
    <row r="29" spans="1:29" x14ac:dyDescent="0.2">
      <c r="A29" s="4" t="s">
        <v>132</v>
      </c>
      <c r="F29" s="29" t="str">
        <f>IF(ROUND(F$28-SUM(E$28,F$22,F$23,-F$24,-F$25,F$26,F$27),3)=0,"OK","ERROR")</f>
        <v>OK</v>
      </c>
      <c r="G29" s="29" t="str">
        <f t="shared" ref="G29:AC29" si="2">IF(ROUND(G$28-SUM(F$28,G$22,G$23,-G$24,-G$25,G$26,G$27),3)=0,"OK","ERROR")</f>
        <v>OK</v>
      </c>
      <c r="H29" s="29" t="str">
        <f t="shared" si="2"/>
        <v>OK</v>
      </c>
      <c r="I29" s="29" t="str">
        <f t="shared" si="2"/>
        <v>OK</v>
      </c>
      <c r="J29" s="29" t="str">
        <f t="shared" si="2"/>
        <v>OK</v>
      </c>
      <c r="K29" s="29" t="str">
        <f t="shared" si="2"/>
        <v>OK</v>
      </c>
      <c r="L29" s="29" t="str">
        <f t="shared" si="2"/>
        <v>OK</v>
      </c>
      <c r="M29" s="29" t="str">
        <f t="shared" si="2"/>
        <v>OK</v>
      </c>
      <c r="N29" s="29" t="str">
        <f t="shared" si="2"/>
        <v>OK</v>
      </c>
      <c r="O29" s="28" t="str">
        <f t="shared" si="2"/>
        <v>OK</v>
      </c>
      <c r="P29" s="28" t="str">
        <f t="shared" si="2"/>
        <v>OK</v>
      </c>
      <c r="Q29" s="28" t="str">
        <f t="shared" si="2"/>
        <v>OK</v>
      </c>
      <c r="R29" s="28" t="str">
        <f t="shared" si="2"/>
        <v>OK</v>
      </c>
      <c r="S29" s="28" t="str">
        <f t="shared" si="2"/>
        <v>OK</v>
      </c>
      <c r="T29" s="27" t="str">
        <f t="shared" si="2"/>
        <v>OK</v>
      </c>
      <c r="U29" s="27" t="str">
        <f t="shared" si="2"/>
        <v>OK</v>
      </c>
      <c r="V29" s="27" t="str">
        <f t="shared" si="2"/>
        <v>OK</v>
      </c>
      <c r="W29" s="27" t="str">
        <f t="shared" si="2"/>
        <v>OK</v>
      </c>
      <c r="X29" s="27" t="str">
        <f t="shared" si="2"/>
        <v>OK</v>
      </c>
      <c r="Y29" s="27" t="str">
        <f t="shared" si="2"/>
        <v>OK</v>
      </c>
      <c r="Z29" s="27" t="str">
        <f t="shared" si="2"/>
        <v>OK</v>
      </c>
      <c r="AA29" s="27" t="str">
        <f t="shared" si="2"/>
        <v>OK</v>
      </c>
      <c r="AB29" s="27" t="str">
        <f t="shared" si="2"/>
        <v>OK</v>
      </c>
      <c r="AC29" s="27" t="str">
        <f t="shared" si="2"/>
        <v>OK</v>
      </c>
    </row>
    <row r="31" spans="1:29" x14ac:dyDescent="0.2">
      <c r="M31" s="3" t="s">
        <v>886</v>
      </c>
      <c r="N31" s="24"/>
      <c r="O31" s="24">
        <v>0</v>
      </c>
      <c r="P31" s="24">
        <v>0</v>
      </c>
      <c r="Q31" s="24">
        <v>0</v>
      </c>
      <c r="R31" s="24">
        <v>0</v>
      </c>
      <c r="S31" s="24">
        <v>0</v>
      </c>
      <c r="T31" s="26">
        <v>2.702</v>
      </c>
      <c r="U31" s="26">
        <v>2.6869999999999998</v>
      </c>
      <c r="V31" s="26">
        <v>2.5489999999999999</v>
      </c>
      <c r="W31" s="26">
        <v>2.3639999999999999</v>
      </c>
      <c r="X31" s="26">
        <v>2.1589999999999998</v>
      </c>
      <c r="Y31" s="26">
        <v>1.9039999999999999</v>
      </c>
      <c r="Z31" s="26">
        <v>1.6040000000000001</v>
      </c>
      <c r="AA31" s="26">
        <v>1.292</v>
      </c>
      <c r="AB31" s="26">
        <v>0.97899999999999998</v>
      </c>
      <c r="AC31" s="26">
        <v>0.70199999999999996</v>
      </c>
    </row>
    <row r="32" spans="1:29" x14ac:dyDescent="0.2">
      <c r="N32" s="24"/>
      <c r="O32" s="24">
        <v>0.9850000000000001</v>
      </c>
      <c r="P32" s="24">
        <v>2.629</v>
      </c>
      <c r="Q32" s="24">
        <v>2.8039999999999998</v>
      </c>
      <c r="R32" s="24">
        <v>2.996</v>
      </c>
      <c r="S32" s="24">
        <v>3.2029999999999994</v>
      </c>
      <c r="T32" s="26">
        <v>2.9914672090602785</v>
      </c>
      <c r="U32" s="26">
        <v>3.4516268920419635</v>
      </c>
      <c r="V32" s="26">
        <v>3.9181176752089821</v>
      </c>
      <c r="W32" s="26">
        <v>4.3407596193032267</v>
      </c>
      <c r="X32" s="26">
        <v>4.7735730448526121</v>
      </c>
      <c r="Y32" s="26">
        <v>5.2145235664505076</v>
      </c>
      <c r="Z32" s="26">
        <v>5.6604286615099788</v>
      </c>
      <c r="AA32" s="26">
        <v>6.10932776558339</v>
      </c>
      <c r="AB32" s="26">
        <v>6.5608782425870897</v>
      </c>
      <c r="AC32" s="26">
        <v>7.0165170941092825</v>
      </c>
    </row>
    <row r="33" spans="12:29" x14ac:dyDescent="0.2">
      <c r="N33" s="24"/>
      <c r="O33" s="24">
        <v>0.22700000000000001</v>
      </c>
      <c r="P33" s="24">
        <v>0.629</v>
      </c>
      <c r="Q33" s="24">
        <v>0.67200000000000004</v>
      </c>
      <c r="R33" s="24">
        <v>0.72</v>
      </c>
      <c r="S33" s="24">
        <v>0.77200000000000002</v>
      </c>
      <c r="T33" s="26">
        <v>0.7179521301744668</v>
      </c>
      <c r="U33" s="26">
        <v>0.82839045409007117</v>
      </c>
      <c r="V33" s="26">
        <v>0.94034824205015566</v>
      </c>
      <c r="W33" s="26">
        <v>1.0417823086327744</v>
      </c>
      <c r="X33" s="26">
        <v>1.1456575307646268</v>
      </c>
      <c r="Y33" s="26">
        <v>1.2514856559481218</v>
      </c>
      <c r="Z33" s="26">
        <v>1.3585028787623949</v>
      </c>
      <c r="AA33" s="26">
        <v>1.4662386637400135</v>
      </c>
      <c r="AB33" s="26">
        <v>1.5746107782209016</v>
      </c>
      <c r="AC33" s="26">
        <v>1.6839641025862278</v>
      </c>
    </row>
    <row r="34" spans="12:29" x14ac:dyDescent="0.2">
      <c r="N34" s="24"/>
      <c r="O34" s="24">
        <v>6.5000000000000002E-2</v>
      </c>
      <c r="P34" s="24">
        <v>1.9E-2</v>
      </c>
      <c r="Q34" s="24">
        <v>2.5999999999999999E-2</v>
      </c>
      <c r="R34" s="24">
        <v>3.3000000000000002E-2</v>
      </c>
      <c r="S34" s="24">
        <v>4.1000000000000002E-2</v>
      </c>
      <c r="T34" s="26">
        <v>3.829227460863923E-2</v>
      </c>
      <c r="U34" s="26">
        <v>4.4182548415148466E-2</v>
      </c>
      <c r="V34" s="26">
        <v>5.0153863466615149E-2</v>
      </c>
      <c r="W34" s="26">
        <v>5.556389147406568E-2</v>
      </c>
      <c r="X34" s="26">
        <v>6.1104119525119321E-2</v>
      </c>
      <c r="Y34" s="26">
        <v>6.6748506470331218E-2</v>
      </c>
      <c r="Z34" s="26">
        <v>7.2456314430817736E-2</v>
      </c>
      <c r="AA34" s="26">
        <v>7.8202447202285072E-2</v>
      </c>
      <c r="AB34" s="26">
        <v>8.3982518871704895E-2</v>
      </c>
      <c r="AC34" s="26">
        <v>8.981492377723406E-2</v>
      </c>
    </row>
    <row r="35" spans="12:29" x14ac:dyDescent="0.2">
      <c r="M35" s="23"/>
      <c r="N35" s="23">
        <v>29.521999999999998</v>
      </c>
      <c r="O35" s="25">
        <v>30.344999999999992</v>
      </c>
      <c r="P35" s="25">
        <v>32.36399999999999</v>
      </c>
      <c r="Q35" s="25">
        <v>34.521999999999991</v>
      </c>
      <c r="R35" s="25">
        <v>36.830999999999989</v>
      </c>
      <c r="S35" s="25">
        <v>39.302999999999983</v>
      </c>
      <c r="T35" s="11">
        <v>44.316807353494433</v>
      </c>
      <c r="U35" s="11">
        <v>49.671226339861477</v>
      </c>
      <c r="V35" s="11">
        <v>55.248149636486914</v>
      </c>
      <c r="W35" s="11">
        <v>60.966690838631429</v>
      </c>
      <c r="X35" s="11">
        <v>66.814710472244542</v>
      </c>
      <c r="Y35" s="11">
        <v>72.74849688921725</v>
      </c>
      <c r="Z35" s="11">
        <v>78.726878986395661</v>
      </c>
      <c r="AA35" s="11">
        <v>84.740170535441322</v>
      </c>
      <c r="AB35" s="11">
        <v>90.789420518679222</v>
      </c>
      <c r="AC35" s="11">
        <v>96.913788433979519</v>
      </c>
    </row>
    <row r="36" spans="12:29" x14ac:dyDescent="0.2">
      <c r="M36" s="29"/>
      <c r="N36" s="29"/>
      <c r="O36" s="28" t="str">
        <f t="shared" ref="O36:AC36" si="3">IF(ROUND(O35-SUM(N35,O31,O32,-O33,O34),3)=0,"OK","ERROR")</f>
        <v>OK</v>
      </c>
      <c r="P36" s="28" t="str">
        <f t="shared" si="3"/>
        <v>OK</v>
      </c>
      <c r="Q36" s="28" t="str">
        <f t="shared" si="3"/>
        <v>OK</v>
      </c>
      <c r="R36" s="28" t="str">
        <f t="shared" si="3"/>
        <v>OK</v>
      </c>
      <c r="S36" s="28" t="str">
        <f t="shared" si="3"/>
        <v>OK</v>
      </c>
      <c r="T36" s="27" t="str">
        <f t="shared" si="3"/>
        <v>OK</v>
      </c>
      <c r="U36" s="27" t="str">
        <f t="shared" si="3"/>
        <v>OK</v>
      </c>
      <c r="V36" s="27" t="str">
        <f t="shared" si="3"/>
        <v>OK</v>
      </c>
      <c r="W36" s="27" t="str">
        <f t="shared" si="3"/>
        <v>OK</v>
      </c>
      <c r="X36" s="27" t="str">
        <f t="shared" si="3"/>
        <v>OK</v>
      </c>
      <c r="Y36" s="27" t="str">
        <f t="shared" si="3"/>
        <v>OK</v>
      </c>
      <c r="Z36" s="27" t="str">
        <f t="shared" si="3"/>
        <v>OK</v>
      </c>
      <c r="AA36" s="27" t="str">
        <f t="shared" si="3"/>
        <v>OK</v>
      </c>
      <c r="AB36" s="27" t="str">
        <f t="shared" si="3"/>
        <v>OK</v>
      </c>
      <c r="AC36" s="27" t="str">
        <f t="shared" si="3"/>
        <v>OK</v>
      </c>
    </row>
    <row r="38" spans="12:29" x14ac:dyDescent="0.2">
      <c r="M38" s="3" t="s">
        <v>887</v>
      </c>
      <c r="O38" s="24">
        <v>0</v>
      </c>
      <c r="P38" s="24">
        <v>0</v>
      </c>
      <c r="Q38" s="24">
        <v>0</v>
      </c>
      <c r="R38" s="24">
        <v>0</v>
      </c>
      <c r="S38" s="24">
        <v>0</v>
      </c>
      <c r="T38" s="26">
        <v>0</v>
      </c>
      <c r="U38" s="26">
        <v>2.7839999999999998</v>
      </c>
      <c r="V38" s="26">
        <v>2.649</v>
      </c>
      <c r="W38" s="26">
        <v>2.4649999999999999</v>
      </c>
      <c r="X38" s="26">
        <v>2.2639999999999998</v>
      </c>
      <c r="Y38" s="26">
        <v>2.012</v>
      </c>
      <c r="Z38" s="26">
        <v>1.714</v>
      </c>
      <c r="AA38" s="26">
        <v>1.405</v>
      </c>
      <c r="AB38" s="26">
        <v>1.095</v>
      </c>
      <c r="AC38" s="26">
        <v>0.82099999999999995</v>
      </c>
    </row>
    <row r="39" spans="12:29" x14ac:dyDescent="0.2">
      <c r="O39" s="24">
        <v>0.9850000000000001</v>
      </c>
      <c r="P39" s="24">
        <v>2.629</v>
      </c>
      <c r="Q39" s="24">
        <v>2.8039999999999998</v>
      </c>
      <c r="R39" s="24">
        <v>2.996</v>
      </c>
      <c r="S39" s="24">
        <v>3.2029999999999994</v>
      </c>
      <c r="T39" s="26">
        <v>2.8966310999999987</v>
      </c>
      <c r="U39" s="26">
        <v>3.2450335489750666</v>
      </c>
      <c r="V39" s="26">
        <v>3.7032614095574621</v>
      </c>
      <c r="W39" s="26">
        <v>4.1208548492496266</v>
      </c>
      <c r="X39" s="26">
        <v>4.5485063205096719</v>
      </c>
      <c r="Y39" s="26">
        <v>4.9842590675690275</v>
      </c>
      <c r="Z39" s="26">
        <v>5.4248514363339586</v>
      </c>
      <c r="AA39" s="26">
        <v>5.8683123318061803</v>
      </c>
      <c r="AB39" s="26">
        <v>6.3143319961337783</v>
      </c>
      <c r="AC39" s="26">
        <v>6.7643419204403532</v>
      </c>
    </row>
    <row r="40" spans="12:29" x14ac:dyDescent="0.2">
      <c r="O40" s="24">
        <v>0.22700000000000001</v>
      </c>
      <c r="P40" s="24">
        <v>0.629</v>
      </c>
      <c r="Q40" s="24">
        <v>0.67200000000000004</v>
      </c>
      <c r="R40" s="24">
        <v>0.72</v>
      </c>
      <c r="S40" s="24">
        <v>0.77200000000000002</v>
      </c>
      <c r="T40" s="26">
        <v>0.69519146399999965</v>
      </c>
      <c r="U40" s="26">
        <v>0.77880805175401591</v>
      </c>
      <c r="V40" s="26">
        <v>0.88878273829379084</v>
      </c>
      <c r="W40" s="26">
        <v>0.98900516381991033</v>
      </c>
      <c r="X40" s="26">
        <v>1.0916415169223213</v>
      </c>
      <c r="Y40" s="26">
        <v>1.1962221762165666</v>
      </c>
      <c r="Z40" s="26">
        <v>1.3019643447201501</v>
      </c>
      <c r="AA40" s="26">
        <v>1.4083949596334833</v>
      </c>
      <c r="AB40" s="26">
        <v>1.5154396790721067</v>
      </c>
      <c r="AC40" s="26">
        <v>1.6234420609056848</v>
      </c>
    </row>
    <row r="41" spans="12:29" x14ac:dyDescent="0.2">
      <c r="O41" s="24">
        <v>6.5000000000000002E-2</v>
      </c>
      <c r="P41" s="24">
        <v>1.9E-2</v>
      </c>
      <c r="Q41" s="24">
        <v>2.5999999999999999E-2</v>
      </c>
      <c r="R41" s="24">
        <v>3.3000000000000002E-2</v>
      </c>
      <c r="S41" s="24">
        <v>4.1000000000000002E-2</v>
      </c>
      <c r="T41" s="26">
        <v>3.7078325039025903E-2</v>
      </c>
      <c r="U41" s="26">
        <v>4.1538050423970574E-2</v>
      </c>
      <c r="V41" s="26">
        <v>4.7403595938762394E-2</v>
      </c>
      <c r="W41" s="26">
        <v>5.2749000567978363E-2</v>
      </c>
      <c r="X41" s="26">
        <v>5.82231530255687E-2</v>
      </c>
      <c r="Y41" s="26">
        <v>6.3801005860234197E-2</v>
      </c>
      <c r="Z41" s="26">
        <v>6.9440808270275461E-2</v>
      </c>
      <c r="AA41" s="26">
        <v>7.5117329255090043E-2</v>
      </c>
      <c r="AB41" s="26">
        <v>8.0826603759439564E-2</v>
      </c>
      <c r="AC41" s="26">
        <v>8.65869555847813E-2</v>
      </c>
    </row>
    <row r="42" spans="12:29" x14ac:dyDescent="0.2">
      <c r="L42" s="23"/>
      <c r="M42" s="23"/>
      <c r="N42" s="23">
        <v>29.521999999999998</v>
      </c>
      <c r="O42" s="25">
        <v>30.344999999999992</v>
      </c>
      <c r="P42" s="25">
        <v>32.36399999999999</v>
      </c>
      <c r="Q42" s="25">
        <v>34.521999999999991</v>
      </c>
      <c r="R42" s="25">
        <v>36.830999999999989</v>
      </c>
      <c r="S42" s="25">
        <v>39.302999999999983</v>
      </c>
      <c r="T42" s="11">
        <v>41.541517961039006</v>
      </c>
      <c r="U42" s="11">
        <v>46.833281508684031</v>
      </c>
      <c r="V42" s="11">
        <v>52.344163775886464</v>
      </c>
      <c r="W42" s="11">
        <v>57.993762461884153</v>
      </c>
      <c r="X42" s="11">
        <v>63.772850418497072</v>
      </c>
      <c r="Y42" s="11">
        <v>69.636688315709762</v>
      </c>
      <c r="Z42" s="11">
        <v>75.543016215593838</v>
      </c>
      <c r="AA42" s="11">
        <v>81.483050917021629</v>
      </c>
      <c r="AB42" s="11">
        <v>87.457769837842733</v>
      </c>
      <c r="AC42" s="11">
        <v>93.506256652962179</v>
      </c>
    </row>
    <row r="43" spans="12:29" x14ac:dyDescent="0.2">
      <c r="M43" s="29"/>
      <c r="N43" s="29"/>
      <c r="O43" s="28" t="str">
        <f t="shared" ref="O43:AC43" si="4">IF(ROUND(O42-SUM(N42,O38,O39,-O40,O41),3)=0,"OK","ERROR")</f>
        <v>OK</v>
      </c>
      <c r="P43" s="28" t="str">
        <f t="shared" si="4"/>
        <v>OK</v>
      </c>
      <c r="Q43" s="28" t="str">
        <f t="shared" si="4"/>
        <v>OK</v>
      </c>
      <c r="R43" s="28" t="str">
        <f t="shared" si="4"/>
        <v>OK</v>
      </c>
      <c r="S43" s="28" t="str">
        <f t="shared" si="4"/>
        <v>OK</v>
      </c>
      <c r="T43" s="27" t="str">
        <f t="shared" si="4"/>
        <v>OK</v>
      </c>
      <c r="U43" s="27" t="str">
        <f t="shared" si="4"/>
        <v>OK</v>
      </c>
      <c r="V43" s="27" t="str">
        <f t="shared" si="4"/>
        <v>OK</v>
      </c>
      <c r="W43" s="27" t="str">
        <f t="shared" si="4"/>
        <v>OK</v>
      </c>
      <c r="X43" s="27" t="str">
        <f t="shared" si="4"/>
        <v>OK</v>
      </c>
      <c r="Y43" s="27" t="str">
        <f t="shared" si="4"/>
        <v>OK</v>
      </c>
      <c r="Z43" s="27" t="str">
        <f t="shared" si="4"/>
        <v>OK</v>
      </c>
      <c r="AA43" s="27" t="str">
        <f t="shared" si="4"/>
        <v>OK</v>
      </c>
      <c r="AB43" s="27" t="str">
        <f t="shared" si="4"/>
        <v>OK</v>
      </c>
      <c r="AC43" s="27" t="str">
        <f t="shared" si="4"/>
        <v>OK</v>
      </c>
    </row>
    <row r="45" spans="12:29" x14ac:dyDescent="0.2">
      <c r="M45" s="3" t="s">
        <v>1168</v>
      </c>
      <c r="N45" s="24"/>
      <c r="O45" s="24">
        <v>0</v>
      </c>
      <c r="P45" s="24">
        <v>0</v>
      </c>
      <c r="Q45" s="24">
        <v>0</v>
      </c>
      <c r="R45" s="24">
        <v>0</v>
      </c>
      <c r="S45" s="24">
        <v>0</v>
      </c>
      <c r="T45" s="26">
        <v>0</v>
      </c>
      <c r="U45" s="26">
        <v>0</v>
      </c>
      <c r="V45" s="26">
        <v>2.7480000000000002</v>
      </c>
      <c r="W45" s="26">
        <v>2.5680000000000001</v>
      </c>
      <c r="X45" s="26">
        <v>2.37</v>
      </c>
      <c r="Y45" s="26">
        <v>2.12</v>
      </c>
      <c r="Z45" s="26">
        <v>1.825</v>
      </c>
      <c r="AA45" s="26">
        <v>1.52</v>
      </c>
      <c r="AB45" s="26">
        <v>1.212</v>
      </c>
      <c r="AC45" s="26">
        <v>0.94099999999999995</v>
      </c>
    </row>
    <row r="46" spans="12:29" x14ac:dyDescent="0.2">
      <c r="N46" s="24"/>
      <c r="O46" s="24">
        <v>0.9850000000000001</v>
      </c>
      <c r="P46" s="24">
        <v>2.629</v>
      </c>
      <c r="Q46" s="24">
        <v>2.8039999999999998</v>
      </c>
      <c r="R46" s="24">
        <v>2.996</v>
      </c>
      <c r="S46" s="24">
        <v>3.2029999999999994</v>
      </c>
      <c r="T46" s="26">
        <v>2.8966310999999987</v>
      </c>
      <c r="U46" s="26">
        <v>3.1446929096506526</v>
      </c>
      <c r="V46" s="26">
        <v>3.486551407236234</v>
      </c>
      <c r="W46" s="26">
        <v>3.8990189993327173</v>
      </c>
      <c r="X46" s="26">
        <v>4.3215109512997403</v>
      </c>
      <c r="Y46" s="26">
        <v>4.7519915037128841</v>
      </c>
      <c r="Z46" s="26">
        <v>5.1871886073865667</v>
      </c>
      <c r="AA46" s="26">
        <v>5.6252008439370949</v>
      </c>
      <c r="AB46" s="26">
        <v>6.0656823136881064</v>
      </c>
      <c r="AC46" s="26">
        <v>6.5100151444773697</v>
      </c>
    </row>
    <row r="47" spans="12:29" x14ac:dyDescent="0.2">
      <c r="N47" s="24"/>
      <c r="O47" s="24">
        <v>0.22700000000000001</v>
      </c>
      <c r="P47" s="24">
        <v>0.629</v>
      </c>
      <c r="Q47" s="24">
        <v>0.67200000000000004</v>
      </c>
      <c r="R47" s="24">
        <v>0.72</v>
      </c>
      <c r="S47" s="24">
        <v>0.77200000000000002</v>
      </c>
      <c r="T47" s="26">
        <v>0.69519146399999965</v>
      </c>
      <c r="U47" s="26">
        <v>0.75472629831615656</v>
      </c>
      <c r="V47" s="26">
        <v>0.83677233773669613</v>
      </c>
      <c r="W47" s="26">
        <v>0.93576455983985207</v>
      </c>
      <c r="X47" s="26">
        <v>1.0371626283119377</v>
      </c>
      <c r="Y47" s="26">
        <v>1.1404779608910922</v>
      </c>
      <c r="Z47" s="26">
        <v>1.2449252657727761</v>
      </c>
      <c r="AA47" s="26">
        <v>1.3500482025449028</v>
      </c>
      <c r="AB47" s="26">
        <v>1.4557637552851455</v>
      </c>
      <c r="AC47" s="26">
        <v>1.5624036346745687</v>
      </c>
    </row>
    <row r="48" spans="12:29" x14ac:dyDescent="0.2">
      <c r="N48" s="24"/>
      <c r="O48" s="24">
        <v>6.5000000000000002E-2</v>
      </c>
      <c r="P48" s="24">
        <v>1.9E-2</v>
      </c>
      <c r="Q48" s="24">
        <v>2.5999999999999999E-2</v>
      </c>
      <c r="R48" s="24">
        <v>3.3000000000000002E-2</v>
      </c>
      <c r="S48" s="24">
        <v>4.1000000000000002E-2</v>
      </c>
      <c r="T48" s="26">
        <v>3.7078325039025903E-2</v>
      </c>
      <c r="U48" s="26">
        <v>4.0253640117289033E-2</v>
      </c>
      <c r="V48" s="26">
        <v>4.4629599655537186E-2</v>
      </c>
      <c r="W48" s="26">
        <v>4.9909390875005129E-2</v>
      </c>
      <c r="X48" s="26">
        <v>5.5317498908301392E-2</v>
      </c>
      <c r="Y48" s="26">
        <v>6.0827865017867078E-2</v>
      </c>
      <c r="Z48" s="26">
        <v>6.6398605339634473E-2</v>
      </c>
      <c r="AA48" s="26">
        <v>7.200538076847357E-2</v>
      </c>
      <c r="AB48" s="26">
        <v>7.7643763615739089E-2</v>
      </c>
      <c r="AC48" s="26">
        <v>8.3331445808171117E-2</v>
      </c>
    </row>
    <row r="49" spans="12:29" x14ac:dyDescent="0.2">
      <c r="L49" s="23"/>
      <c r="M49" s="23"/>
      <c r="N49" s="23">
        <v>29.521999999999998</v>
      </c>
      <c r="O49" s="25">
        <v>30.344999999999992</v>
      </c>
      <c r="P49" s="25">
        <v>32.36399999999999</v>
      </c>
      <c r="Q49" s="25">
        <v>34.521999999999991</v>
      </c>
      <c r="R49" s="25">
        <v>36.830999999999989</v>
      </c>
      <c r="S49" s="25">
        <v>39.302999999999983</v>
      </c>
      <c r="T49" s="11">
        <v>41.541517961039006</v>
      </c>
      <c r="U49" s="11">
        <v>43.971738212490791</v>
      </c>
      <c r="V49" s="11">
        <v>49.414146881645863</v>
      </c>
      <c r="W49" s="11">
        <v>54.995310712013733</v>
      </c>
      <c r="X49" s="11">
        <v>60.704976533909836</v>
      </c>
      <c r="Y49" s="11">
        <v>66.4973179417495</v>
      </c>
      <c r="Z49" s="11">
        <v>72.330979888702927</v>
      </c>
      <c r="AA49" s="11">
        <v>78.198137910863593</v>
      </c>
      <c r="AB49" s="11">
        <v>84.097700232882303</v>
      </c>
      <c r="AC49" s="11">
        <v>90.069643188493274</v>
      </c>
    </row>
    <row r="50" spans="12:29" x14ac:dyDescent="0.2">
      <c r="M50" s="29"/>
      <c r="N50" s="29"/>
      <c r="O50" s="28" t="str">
        <f t="shared" ref="O50:AC50" si="5">IF(ROUND(O49-SUM(N49,O45,O46,-O47,O48),3)=0,"OK","ERROR")</f>
        <v>OK</v>
      </c>
      <c r="P50" s="28" t="str">
        <f t="shared" si="5"/>
        <v>OK</v>
      </c>
      <c r="Q50" s="28" t="str">
        <f t="shared" si="5"/>
        <v>OK</v>
      </c>
      <c r="R50" s="28" t="str">
        <f t="shared" si="5"/>
        <v>OK</v>
      </c>
      <c r="S50" s="28" t="str">
        <f t="shared" si="5"/>
        <v>OK</v>
      </c>
      <c r="T50" s="27" t="str">
        <f t="shared" si="5"/>
        <v>OK</v>
      </c>
      <c r="U50" s="27" t="str">
        <f t="shared" si="5"/>
        <v>OK</v>
      </c>
      <c r="V50" s="27" t="str">
        <f t="shared" si="5"/>
        <v>OK</v>
      </c>
      <c r="W50" s="27" t="str">
        <f t="shared" si="5"/>
        <v>OK</v>
      </c>
      <c r="X50" s="27" t="str">
        <f t="shared" si="5"/>
        <v>OK</v>
      </c>
      <c r="Y50" s="27" t="str">
        <f t="shared" si="5"/>
        <v>OK</v>
      </c>
      <c r="Z50" s="27" t="str">
        <f t="shared" si="5"/>
        <v>OK</v>
      </c>
      <c r="AA50" s="27" t="str">
        <f t="shared" si="5"/>
        <v>OK</v>
      </c>
      <c r="AB50" s="27" t="str">
        <f t="shared" si="5"/>
        <v>OK</v>
      </c>
      <c r="AC50" s="27" t="str">
        <f t="shared" si="5"/>
        <v>OK</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Display</vt:lpstr>
      <vt:lpstr>Guide to Model</vt:lpstr>
      <vt:lpstr>Input Sources</vt:lpstr>
      <vt:lpstr>Popn</vt:lpstr>
      <vt:lpstr>LF</vt:lpstr>
      <vt:lpstr>Tracks</vt:lpstr>
      <vt:lpstr>Economic Forecasts</vt:lpstr>
      <vt:lpstr>Fiscal Forecasts</vt:lpstr>
      <vt:lpstr>NZS Fund Adjuster</vt:lpstr>
      <vt:lpstr>Fiscal Forecast Adjuster</vt:lpstr>
      <vt:lpstr>Choices</vt:lpstr>
      <vt:lpstr>2015 HYEFU</vt:lpstr>
      <vt:lpstr>Option</vt:lpstr>
    </vt:vector>
  </TitlesOfParts>
  <Company>The Treasury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Fiscal Strategy Model - BEFU 2015 Update - 21 May 2015 - The Treasury</dc:title>
  <dc:creator>New Zealand Treasury</dc:creator>
  <cp:lastModifiedBy>Christine Dewes [CASS]</cp:lastModifiedBy>
  <cp:lastPrinted>2014-03-16T22:06:13Z</cp:lastPrinted>
  <dcterms:created xsi:type="dcterms:W3CDTF">2014-03-16T20:19:55Z</dcterms:created>
  <dcterms:modified xsi:type="dcterms:W3CDTF">2017-12-12T21:37:20Z</dcterms:modified>
</cp:coreProperties>
</file>